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F:\2025-1-0940司法-西山国际城（收费说明一并邮寄）\"/>
    </mc:Choice>
  </mc:AlternateContent>
  <xr:revisionPtr revIDLastSave="0" documentId="13_ncr:1_{F91B3980-1530-45CF-AC78-E583325BDF77}" xr6:coauthVersionLast="47" xr6:coauthVersionMax="47" xr10:uidLastSave="{00000000-0000-0000-0000-000000000000}"/>
  <bookViews>
    <workbookView xWindow="-120" yWindow="-120" windowWidth="38640" windowHeight="21240" tabRatio="899" firstSheet="9"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住宅" sheetId="21" r:id="rId22"/>
    <sheet name="收益法 (元)" sheetId="67" r:id="rId23"/>
    <sheet name="收益法-酒店模型" sheetId="77" state="hidden" r:id="rId24"/>
    <sheet name="收益法（汇总）" sheetId="70"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比较法-住宅租金" sheetId="81" r:id="rId34"/>
    <sheet name="成本法 (元)" sheetId="69"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因素修正幅度" sheetId="65" state="hidden" r:id="rId41"/>
    <sheet name="区片价（范围）" sheetId="75" state="hidden" r:id="rId42"/>
    <sheet name="地价-分区" sheetId="79" r:id="rId43"/>
    <sheet name="地价" sheetId="71" r:id="rId44"/>
    <sheet name="案例" sheetId="80" r:id="rId45"/>
    <sheet name="区片价" sheetId="44" r:id="rId46"/>
    <sheet name="存贷款利率" sheetId="73" r:id="rId47"/>
  </sheets>
  <externalReferences>
    <externalReference r:id="rId48"/>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1" hidden="1">'比较法-住宅'!$A$1:$L$49</definedName>
    <definedName name="_xlnm._FilterDatabase" localSheetId="33" hidden="1">'比较法-住宅租金'!$A$1:$L$49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1">'比较法-住宅'!$A$1:$K$54,'比较法-住宅'!$A$57:$M$131</definedName>
    <definedName name="_xlnm.Print_Area" localSheetId="33">'比较法-住宅租金'!$A$1:$K$54,'比较法-住宅租金'!$A$57:$M$131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 localSheetId="33">'比较法-住宅租金'!$B$88:$M$88</definedName>
    <definedName name="住宅朝向">'比较法-住宅'!$B$88:$M$88</definedName>
    <definedName name="住宅房型" localSheetId="33">'比较法-住宅租金'!$B$118:$M$118</definedName>
    <definedName name="住宅房型">'比较法-住宅'!$B$118:$M$118</definedName>
    <definedName name="住宅公共部分装修" localSheetId="33">'比较法-住宅租金'!$B$109:$M$109</definedName>
    <definedName name="住宅公共部分装修">'比较法-住宅'!$B$109:$M$109</definedName>
    <definedName name="住宅基础设施水平" localSheetId="33">'比较法-住宅租金'!$B$116:$M$116</definedName>
    <definedName name="住宅基础设施水平">'比较法-住宅'!$B$116:$M$116</definedName>
    <definedName name="住宅建筑结构" localSheetId="33">'比较法-住宅租金'!$B$105:$M$105</definedName>
    <definedName name="住宅建筑结构">'比较法-住宅'!$B$105:$M$105</definedName>
    <definedName name="住宅建筑类型" localSheetId="33">'比较法-住宅租金'!$B$100:$M$100</definedName>
    <definedName name="住宅建筑类型">'比较法-住宅'!$B$100:$M$100</definedName>
    <definedName name="住宅建筑品质" localSheetId="33">'比较法-住宅租金'!$B$107:$M$107</definedName>
    <definedName name="住宅建筑品质">'比较法-住宅'!$B$107:$M$107</definedName>
    <definedName name="住宅交易情况" localSheetId="33">'比较法-住宅租金'!$A$61:$M$61</definedName>
    <definedName name="住宅交易情况">'比较法-住宅'!$A$61:$M$61</definedName>
    <definedName name="住宅楼层" localSheetId="33">'比较法-住宅租金'!$B$86:$M$86</definedName>
    <definedName name="住宅楼层">'比较法-住宅'!$B$86:$M$86</definedName>
    <definedName name="住宅内部装修" localSheetId="33">'比较法-住宅租金'!$B$122:$M$122</definedName>
    <definedName name="住宅内部装修">'比较法-住宅'!$B$122:$M$122</definedName>
    <definedName name="住宅物业管理" localSheetId="33">'比较法-住宅租金'!$B$114:$M$114</definedName>
    <definedName name="住宅物业管理">'比较法-住宅'!$B$114:$M$114</definedName>
    <definedName name="住宅用途" localSheetId="33">'比较法-住宅租金'!$B$63:$M$63</definedName>
    <definedName name="住宅用途">'比较法-住宅'!$B$63:$M$63</definedName>
    <definedName name="住宅主力户型面积" localSheetId="33">'比较法-住宅租金'!$B$120:$M$120</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B14" i="74" l="1"/>
  <c r="D91" i="81"/>
  <c r="E91" i="81"/>
  <c r="F91" i="81"/>
  <c r="G91" i="81"/>
  <c r="C91" i="81"/>
  <c r="J52" i="67"/>
  <c r="I47" i="21"/>
  <c r="G47" i="21"/>
  <c r="E47" i="21"/>
  <c r="D33" i="43"/>
  <c r="I33" i="81"/>
  <c r="J33" i="81" s="1"/>
  <c r="G33" i="81"/>
  <c r="H33" i="81" s="1"/>
  <c r="E33" i="81"/>
  <c r="F33" i="81" s="1"/>
  <c r="I7" i="81"/>
  <c r="G7" i="81"/>
  <c r="E7" i="81"/>
  <c r="I47" i="81"/>
  <c r="V47" i="81" s="1"/>
  <c r="G47" i="81"/>
  <c r="T47" i="81" s="1"/>
  <c r="E47" i="81"/>
  <c r="R47" i="81" s="1"/>
  <c r="F12" i="80"/>
  <c r="F13" i="80"/>
  <c r="F14" i="80"/>
  <c r="F15" i="80"/>
  <c r="F16" i="80"/>
  <c r="F17" i="80"/>
  <c r="F18" i="80"/>
  <c r="F19" i="80"/>
  <c r="F20" i="80"/>
  <c r="F21" i="80"/>
  <c r="F22" i="80"/>
  <c r="F23" i="80"/>
  <c r="F24" i="80"/>
  <c r="F25" i="80"/>
  <c r="F26" i="80"/>
  <c r="F27" i="80"/>
  <c r="F28" i="80"/>
  <c r="F29" i="80"/>
  <c r="F30" i="80"/>
  <c r="F31" i="80"/>
  <c r="F32" i="80"/>
  <c r="F11" i="80"/>
  <c r="C145" i="81"/>
  <c r="K139" i="81" s="1"/>
  <c r="J142" i="81"/>
  <c r="J140" i="81"/>
  <c r="B130" i="81"/>
  <c r="B128" i="81"/>
  <c r="B126" i="81"/>
  <c r="G125" i="81"/>
  <c r="E125" i="81"/>
  <c r="F125" i="81" s="1"/>
  <c r="D125" i="81"/>
  <c r="E123" i="81"/>
  <c r="F123" i="81" s="1"/>
  <c r="G123" i="81" s="1"/>
  <c r="H123" i="81" s="1"/>
  <c r="I123" i="81" s="1"/>
  <c r="J123" i="81" s="1"/>
  <c r="K123" i="81" s="1"/>
  <c r="L123" i="81" s="1"/>
  <c r="M123" i="81" s="1"/>
  <c r="D123" i="81"/>
  <c r="K119" i="81"/>
  <c r="L119" i="81" s="1"/>
  <c r="M119" i="81" s="1"/>
  <c r="I119" i="81"/>
  <c r="J119" i="81" s="1"/>
  <c r="G119" i="81"/>
  <c r="H119" i="81" s="1"/>
  <c r="E119" i="81"/>
  <c r="F119" i="81" s="1"/>
  <c r="D119" i="81"/>
  <c r="G117" i="81"/>
  <c r="E117" i="81"/>
  <c r="F117" i="81" s="1"/>
  <c r="D117" i="81"/>
  <c r="E115" i="81"/>
  <c r="F115" i="81" s="1"/>
  <c r="G115" i="81" s="1"/>
  <c r="H115" i="81" s="1"/>
  <c r="I115" i="81" s="1"/>
  <c r="J115" i="81" s="1"/>
  <c r="K115" i="81" s="1"/>
  <c r="L115" i="81" s="1"/>
  <c r="M115" i="81" s="1"/>
  <c r="D115" i="81"/>
  <c r="D113" i="81"/>
  <c r="E113" i="81" s="1"/>
  <c r="F113" i="81" s="1"/>
  <c r="H111" i="81"/>
  <c r="G111" i="81"/>
  <c r="F111" i="81"/>
  <c r="E111" i="81"/>
  <c r="D111" i="81"/>
  <c r="C111" i="81"/>
  <c r="F110" i="81"/>
  <c r="G110" i="81" s="1"/>
  <c r="H110" i="81" s="1"/>
  <c r="I110" i="81" s="1"/>
  <c r="J110" i="81" s="1"/>
  <c r="K110" i="81" s="1"/>
  <c r="L110" i="81" s="1"/>
  <c r="M110" i="81" s="1"/>
  <c r="D110" i="81"/>
  <c r="E110" i="81" s="1"/>
  <c r="D108" i="81"/>
  <c r="E108" i="81" s="1"/>
  <c r="F108" i="81" s="1"/>
  <c r="G108" i="81" s="1"/>
  <c r="H108" i="81" s="1"/>
  <c r="I108" i="81" s="1"/>
  <c r="J108" i="81" s="1"/>
  <c r="K108" i="81" s="1"/>
  <c r="L108" i="81" s="1"/>
  <c r="M108" i="81" s="1"/>
  <c r="F106" i="81"/>
  <c r="G106" i="81" s="1"/>
  <c r="H106" i="81" s="1"/>
  <c r="I106" i="81" s="1"/>
  <c r="J106" i="81" s="1"/>
  <c r="K106" i="81" s="1"/>
  <c r="L106" i="81" s="1"/>
  <c r="M106" i="81" s="1"/>
  <c r="D106" i="81"/>
  <c r="E106" i="81" s="1"/>
  <c r="M102" i="81"/>
  <c r="L102" i="81"/>
  <c r="K102" i="81"/>
  <c r="J102" i="81"/>
  <c r="I102" i="81"/>
  <c r="H102" i="81"/>
  <c r="G102" i="81"/>
  <c r="F102" i="81"/>
  <c r="E102" i="81"/>
  <c r="D102" i="81"/>
  <c r="C102" i="81"/>
  <c r="G101" i="81"/>
  <c r="H101" i="81" s="1"/>
  <c r="I101" i="81" s="1"/>
  <c r="J101" i="81" s="1"/>
  <c r="K101" i="81" s="1"/>
  <c r="L101" i="81" s="1"/>
  <c r="M101" i="81" s="1"/>
  <c r="E101" i="81"/>
  <c r="F101" i="81" s="1"/>
  <c r="D101" i="81"/>
  <c r="B98" i="81"/>
  <c r="B96" i="81"/>
  <c r="B94" i="81"/>
  <c r="B92" i="81"/>
  <c r="B90" i="81"/>
  <c r="H27" i="81" s="1"/>
  <c r="D89" i="81"/>
  <c r="M87" i="81"/>
  <c r="L87" i="81"/>
  <c r="K87" i="81"/>
  <c r="J87" i="81"/>
  <c r="I87" i="81"/>
  <c r="H87" i="81"/>
  <c r="G87" i="81"/>
  <c r="F87" i="81"/>
  <c r="E87" i="81"/>
  <c r="D87" i="81"/>
  <c r="D85" i="81"/>
  <c r="E85" i="81" s="1"/>
  <c r="F85" i="81" s="1"/>
  <c r="G85" i="81" s="1"/>
  <c r="D83" i="81"/>
  <c r="E83" i="81" s="1"/>
  <c r="F83" i="81" s="1"/>
  <c r="G83" i="81" s="1"/>
  <c r="D81" i="81"/>
  <c r="E81" i="81" s="1"/>
  <c r="F81" i="81" s="1"/>
  <c r="G81" i="81" s="1"/>
  <c r="D79" i="81"/>
  <c r="E79" i="81" s="1"/>
  <c r="F79" i="81" s="1"/>
  <c r="G79" i="81" s="1"/>
  <c r="D77" i="81"/>
  <c r="E77" i="81" s="1"/>
  <c r="F77" i="81" s="1"/>
  <c r="G77" i="81" s="1"/>
  <c r="B74" i="81"/>
  <c r="B72" i="81"/>
  <c r="B70" i="81"/>
  <c r="E69" i="81"/>
  <c r="F69" i="81" s="1"/>
  <c r="G69" i="81" s="1"/>
  <c r="H69" i="81" s="1"/>
  <c r="I69" i="81" s="1"/>
  <c r="J69" i="81" s="1"/>
  <c r="K69" i="81" s="1"/>
  <c r="L69" i="81" s="1"/>
  <c r="M69" i="81" s="1"/>
  <c r="D69" i="81"/>
  <c r="M67" i="81"/>
  <c r="L67" i="81"/>
  <c r="K67" i="81"/>
  <c r="J67" i="81"/>
  <c r="I67" i="81"/>
  <c r="H67" i="81"/>
  <c r="G67" i="81"/>
  <c r="F67" i="81"/>
  <c r="E67" i="81"/>
  <c r="D67" i="81"/>
  <c r="C67" i="81"/>
  <c r="C63" i="81"/>
  <c r="P49" i="81"/>
  <c r="P48" i="81"/>
  <c r="K48" i="81"/>
  <c r="P47" i="81"/>
  <c r="AC46" i="81"/>
  <c r="W46" i="81"/>
  <c r="Q46" i="81"/>
  <c r="Z46" i="81" s="1"/>
  <c r="J46" i="81"/>
  <c r="H46" i="81"/>
  <c r="AB46" i="81" s="1"/>
  <c r="F46" i="81"/>
  <c r="S46" i="81" s="1"/>
  <c r="Q45" i="81"/>
  <c r="Z45" i="81" s="1"/>
  <c r="AA44" i="81"/>
  <c r="Q44" i="81"/>
  <c r="Z44" i="81" s="1"/>
  <c r="J44" i="81"/>
  <c r="W44" i="81" s="1"/>
  <c r="H44" i="81"/>
  <c r="AB44" i="81" s="1"/>
  <c r="F44" i="81"/>
  <c r="S44" i="81" s="1"/>
  <c r="Z43" i="81"/>
  <c r="Q43" i="81"/>
  <c r="J43" i="81"/>
  <c r="AC43" i="81" s="1"/>
  <c r="H43" i="81"/>
  <c r="U43" i="81" s="1"/>
  <c r="F43" i="81"/>
  <c r="AA43" i="81" s="1"/>
  <c r="Q42" i="81"/>
  <c r="Z42" i="81" s="1"/>
  <c r="J42" i="81"/>
  <c r="AC42" i="81" s="1"/>
  <c r="H42" i="81"/>
  <c r="AB42" i="81" s="1"/>
  <c r="F42" i="81"/>
  <c r="S42" i="81" s="1"/>
  <c r="U41" i="81"/>
  <c r="Q41" i="81"/>
  <c r="Z41" i="81" s="1"/>
  <c r="J41" i="81"/>
  <c r="AC41" i="81" s="1"/>
  <c r="H41" i="81"/>
  <c r="AB41" i="81" s="1"/>
  <c r="F41" i="81"/>
  <c r="AA41" i="81" s="1"/>
  <c r="AC40" i="81"/>
  <c r="Q40" i="81"/>
  <c r="Z40" i="81" s="1"/>
  <c r="J40" i="81"/>
  <c r="W40" i="81" s="1"/>
  <c r="H40" i="81"/>
  <c r="AB40" i="81" s="1"/>
  <c r="F40" i="81"/>
  <c r="AA40" i="81" s="1"/>
  <c r="Q39" i="81"/>
  <c r="Z39" i="81" s="1"/>
  <c r="J39" i="81"/>
  <c r="AC39" i="81" s="1"/>
  <c r="H39" i="81"/>
  <c r="AB39" i="81" s="1"/>
  <c r="F39" i="81"/>
  <c r="AA39" i="81" s="1"/>
  <c r="AC38" i="81"/>
  <c r="Q38" i="81"/>
  <c r="Z38" i="81" s="1"/>
  <c r="J38" i="81"/>
  <c r="W38" i="81" s="1"/>
  <c r="H38" i="81"/>
  <c r="AB38" i="81" s="1"/>
  <c r="F38" i="81"/>
  <c r="AA38" i="81" s="1"/>
  <c r="Z37" i="81"/>
  <c r="Q37" i="81"/>
  <c r="Q36" i="81"/>
  <c r="Z36" i="81" s="1"/>
  <c r="J36" i="81"/>
  <c r="AC36" i="81" s="1"/>
  <c r="H36" i="81"/>
  <c r="AB36" i="81" s="1"/>
  <c r="F36" i="81"/>
  <c r="AA36" i="81" s="1"/>
  <c r="Q35" i="81"/>
  <c r="Z35" i="81" s="1"/>
  <c r="J35" i="81"/>
  <c r="AC35" i="81" s="1"/>
  <c r="H35" i="81"/>
  <c r="AB35" i="81" s="1"/>
  <c r="F35" i="81"/>
  <c r="AA35" i="81" s="1"/>
  <c r="Q34" i="81"/>
  <c r="Z34" i="81" s="1"/>
  <c r="J34" i="81"/>
  <c r="W34" i="81" s="1"/>
  <c r="H34" i="81"/>
  <c r="AB34" i="81" s="1"/>
  <c r="F34" i="81"/>
  <c r="AA34" i="81" s="1"/>
  <c r="Z33" i="81"/>
  <c r="Q33" i="81"/>
  <c r="C33" i="81"/>
  <c r="Q32" i="81"/>
  <c r="Z32" i="81" s="1"/>
  <c r="J32" i="81"/>
  <c r="W32" i="81" s="1"/>
  <c r="H32" i="81"/>
  <c r="AB32" i="81" s="1"/>
  <c r="F32" i="81"/>
  <c r="AA32" i="81" s="1"/>
  <c r="Z31" i="81"/>
  <c r="Q31" i="81"/>
  <c r="H31" i="81"/>
  <c r="U31" i="81" s="1"/>
  <c r="AC30" i="81"/>
  <c r="W30" i="81"/>
  <c r="Q30" i="81"/>
  <c r="Z30" i="81" s="1"/>
  <c r="J30" i="81"/>
  <c r="H30" i="81"/>
  <c r="AB30" i="81" s="1"/>
  <c r="F30" i="81"/>
  <c r="AA30" i="81" s="1"/>
  <c r="Q29" i="81"/>
  <c r="Z29" i="81" s="1"/>
  <c r="H29" i="81"/>
  <c r="AB29" i="81" s="1"/>
  <c r="W28" i="81"/>
  <c r="Q28" i="81"/>
  <c r="Z28" i="81" s="1"/>
  <c r="J28" i="81"/>
  <c r="AC28" i="81" s="1"/>
  <c r="H28" i="81"/>
  <c r="AB28" i="81" s="1"/>
  <c r="F28" i="81"/>
  <c r="S28" i="81" s="1"/>
  <c r="Q27" i="81"/>
  <c r="Z27" i="81" s="1"/>
  <c r="Q26" i="81"/>
  <c r="Z26" i="81" s="1"/>
  <c r="J26" i="81"/>
  <c r="W26" i="81" s="1"/>
  <c r="AA25" i="81"/>
  <c r="Z25" i="81"/>
  <c r="Q25" i="81"/>
  <c r="J25" i="81"/>
  <c r="AC25" i="81" s="1"/>
  <c r="H25" i="81"/>
  <c r="U25" i="81" s="1"/>
  <c r="F25" i="81"/>
  <c r="S25" i="81" s="1"/>
  <c r="Q23" i="81"/>
  <c r="Z23" i="81" s="1"/>
  <c r="J23" i="81"/>
  <c r="W23" i="81" s="1"/>
  <c r="H23" i="81"/>
  <c r="AB23" i="81" s="1"/>
  <c r="F23" i="81"/>
  <c r="S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W13" i="81" s="1"/>
  <c r="H13" i="81"/>
  <c r="AB13" i="81" s="1"/>
  <c r="F13" i="81"/>
  <c r="AA13" i="81" s="1"/>
  <c r="Q12" i="81"/>
  <c r="Z12" i="81" s="1"/>
  <c r="J12" i="81"/>
  <c r="AC12" i="81" s="1"/>
  <c r="H12" i="81"/>
  <c r="AB12" i="81" s="1"/>
  <c r="F12" i="81"/>
  <c r="AA12" i="81" s="1"/>
  <c r="Q11" i="81"/>
  <c r="Z11" i="81" s="1"/>
  <c r="J11" i="81"/>
  <c r="AC11" i="81" s="1"/>
  <c r="H11" i="81"/>
  <c r="AB11" i="81" s="1"/>
  <c r="F11" i="81"/>
  <c r="Q10" i="81"/>
  <c r="Z10" i="81" s="1"/>
  <c r="J10" i="81"/>
  <c r="AC10" i="81" s="1"/>
  <c r="H10" i="81"/>
  <c r="AB10" i="81" s="1"/>
  <c r="F10" i="81"/>
  <c r="AA10" i="81" s="1"/>
  <c r="Q9" i="81"/>
  <c r="Z9" i="81" s="1"/>
  <c r="J9" i="81"/>
  <c r="AC9" i="81" s="1"/>
  <c r="H9" i="81"/>
  <c r="AB9" i="81" s="1"/>
  <c r="F9" i="81"/>
  <c r="AA9" i="81" s="1"/>
  <c r="AB8" i="81"/>
  <c r="W8" i="81"/>
  <c r="S8" i="81"/>
  <c r="J8" i="81"/>
  <c r="AC8" i="81" s="1"/>
  <c r="H8" i="81"/>
  <c r="U8" i="81" s="1"/>
  <c r="F8" i="81"/>
  <c r="AA8" i="81" s="1"/>
  <c r="C7" i="81"/>
  <c r="C58" i="81" s="1"/>
  <c r="G5" i="81"/>
  <c r="I5" i="81" s="1"/>
  <c r="E5" i="81"/>
  <c r="D3" i="81"/>
  <c r="D14" i="9"/>
  <c r="I33" i="21"/>
  <c r="G33" i="21"/>
  <c r="E33" i="21"/>
  <c r="C33" i="21"/>
  <c r="I7" i="21"/>
  <c r="G7" i="21"/>
  <c r="E7" i="21"/>
  <c r="G5" i="21"/>
  <c r="I5" i="21" s="1"/>
  <c r="E5" i="21"/>
  <c r="Y6" i="1"/>
  <c r="N19" i="1"/>
  <c r="F19" i="6"/>
  <c r="D2" i="81"/>
  <c r="I54" i="81" l="1"/>
  <c r="J54" i="81" s="1"/>
  <c r="AA23" i="81"/>
  <c r="AC34" i="81"/>
  <c r="AC32" i="81"/>
  <c r="W42" i="81"/>
  <c r="AB27" i="81"/>
  <c r="U27" i="81"/>
  <c r="U33" i="81"/>
  <c r="AB33" i="81"/>
  <c r="D58" i="81"/>
  <c r="F37" i="81"/>
  <c r="G113" i="81"/>
  <c r="H113" i="81" s="1"/>
  <c r="J37" i="81"/>
  <c r="H37" i="81"/>
  <c r="W9" i="81"/>
  <c r="AA11" i="81"/>
  <c r="S11" i="81"/>
  <c r="K145" i="81"/>
  <c r="K143" i="81"/>
  <c r="K141" i="81"/>
  <c r="S30" i="81"/>
  <c r="AB31" i="81"/>
  <c r="AC33" i="81"/>
  <c r="W33" i="81"/>
  <c r="S36" i="81"/>
  <c r="S40" i="81"/>
  <c r="E89" i="81"/>
  <c r="F89" i="81" s="1"/>
  <c r="G89" i="81" s="1"/>
  <c r="H89" i="81" s="1"/>
  <c r="I89" i="81" s="1"/>
  <c r="J89" i="81" s="1"/>
  <c r="K89" i="81" s="1"/>
  <c r="L89" i="81" s="1"/>
  <c r="M89" i="81" s="1"/>
  <c r="H26" i="81"/>
  <c r="F45" i="81"/>
  <c r="J45" i="81"/>
  <c r="S10" i="81"/>
  <c r="U11" i="81"/>
  <c r="W12" i="81"/>
  <c r="S14" i="81"/>
  <c r="S15" i="81"/>
  <c r="S17" i="81"/>
  <c r="S19" i="81"/>
  <c r="S21" i="81"/>
  <c r="AC23" i="81"/>
  <c r="AC26" i="81"/>
  <c r="AA28" i="81"/>
  <c r="U29" i="81"/>
  <c r="S32" i="81"/>
  <c r="S34" i="81"/>
  <c r="U35" i="81"/>
  <c r="W36" i="81"/>
  <c r="S38" i="81"/>
  <c r="U39" i="81"/>
  <c r="AA42" i="81"/>
  <c r="AB43" i="81"/>
  <c r="AC44" i="81"/>
  <c r="AA46" i="81"/>
  <c r="E54" i="81"/>
  <c r="F54" i="81" s="1"/>
  <c r="J27" i="81"/>
  <c r="F27" i="81"/>
  <c r="J31" i="81"/>
  <c r="F31" i="81"/>
  <c r="AC13" i="81"/>
  <c r="S9" i="81"/>
  <c r="U10" i="81"/>
  <c r="W11" i="81"/>
  <c r="S13" i="81"/>
  <c r="U14" i="81"/>
  <c r="U19" i="81"/>
  <c r="U21" i="81"/>
  <c r="AB25" i="81"/>
  <c r="AA33" i="81"/>
  <c r="S33" i="81"/>
  <c r="H45" i="81"/>
  <c r="G54" i="81"/>
  <c r="H54" i="81" s="1"/>
  <c r="U12" i="81"/>
  <c r="U15" i="81"/>
  <c r="U17" i="81"/>
  <c r="U9" i="81"/>
  <c r="W10" i="81"/>
  <c r="S12" i="81"/>
  <c r="U13" i="81"/>
  <c r="W14" i="81"/>
  <c r="W15" i="81"/>
  <c r="W17" i="81"/>
  <c r="W19" i="81"/>
  <c r="W21" i="81"/>
  <c r="F26" i="81"/>
  <c r="F29" i="81"/>
  <c r="J29" i="81"/>
  <c r="K144" i="81"/>
  <c r="U23" i="81"/>
  <c r="W25" i="81"/>
  <c r="U28" i="81"/>
  <c r="U32" i="81"/>
  <c r="S35" i="81"/>
  <c r="U36" i="81"/>
  <c r="S39" i="81"/>
  <c r="U40" i="81"/>
  <c r="W41" i="81"/>
  <c r="S43" i="81"/>
  <c r="U44" i="81"/>
  <c r="U30" i="81"/>
  <c r="U34" i="81"/>
  <c r="W35" i="81"/>
  <c r="U38" i="81"/>
  <c r="W39" i="81"/>
  <c r="S41" i="81"/>
  <c r="U42" i="81"/>
  <c r="W43" i="81"/>
  <c r="U46" i="81"/>
  <c r="D3" i="4"/>
  <c r="K4" i="80"/>
  <c r="K5" i="80"/>
  <c r="K6" i="80"/>
  <c r="H4" i="80"/>
  <c r="H5" i="80"/>
  <c r="H6" i="80"/>
  <c r="K3" i="80"/>
  <c r="H3" i="80"/>
  <c r="E32" i="80"/>
  <c r="E31" i="80"/>
  <c r="E30" i="80"/>
  <c r="E29" i="80"/>
  <c r="E28" i="80"/>
  <c r="E27" i="80"/>
  <c r="E26" i="80"/>
  <c r="E25" i="80"/>
  <c r="E24" i="80"/>
  <c r="E23" i="80"/>
  <c r="E22" i="80"/>
  <c r="E12" i="80"/>
  <c r="E13" i="80"/>
  <c r="E14" i="80"/>
  <c r="E15" i="80"/>
  <c r="E16" i="80"/>
  <c r="E17" i="80"/>
  <c r="E18" i="80"/>
  <c r="E19" i="80"/>
  <c r="E20" i="80"/>
  <c r="E21" i="80"/>
  <c r="E11" i="80"/>
  <c r="E27" i="45"/>
  <c r="AB26" i="81" l="1"/>
  <c r="U26" i="81"/>
  <c r="AA37" i="81"/>
  <c r="S37" i="81"/>
  <c r="AC27" i="81"/>
  <c r="W27" i="81"/>
  <c r="AC45" i="81"/>
  <c r="W45" i="81"/>
  <c r="AC37" i="81"/>
  <c r="W37" i="81"/>
  <c r="AC29" i="81"/>
  <c r="W29" i="81"/>
  <c r="AA29" i="81"/>
  <c r="S29" i="81"/>
  <c r="AC31" i="81"/>
  <c r="W31" i="81"/>
  <c r="S26" i="81"/>
  <c r="AA26" i="81"/>
  <c r="AA27" i="81"/>
  <c r="S27" i="81"/>
  <c r="U37" i="81"/>
  <c r="AB37" i="81"/>
  <c r="AB45" i="81"/>
  <c r="U45" i="81"/>
  <c r="AA31" i="81"/>
  <c r="S31" i="81"/>
  <c r="AA45" i="81"/>
  <c r="S45" i="81"/>
  <c r="E58" i="81"/>
  <c r="G14" i="73"/>
  <c r="F14" i="73"/>
  <c r="E14" i="73"/>
  <c r="F58" i="81" l="1"/>
  <c r="I12" i="79"/>
  <c r="G58" i="81" l="1"/>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P35" i="79"/>
  <c r="AP36" i="79" s="1"/>
  <c r="AP37" i="79" s="1"/>
  <c r="AP38" i="79" s="1"/>
  <c r="AP39" i="79" s="1"/>
  <c r="AP40" i="79" s="1"/>
  <c r="AP41" i="79" s="1"/>
  <c r="AP42" i="79" s="1"/>
  <c r="AP43" i="79" s="1"/>
  <c r="AP44" i="79" s="1"/>
  <c r="AP45" i="79" s="1"/>
  <c r="AP46" i="79" s="1"/>
  <c r="AP47" i="79" s="1"/>
  <c r="AP48" i="79" s="1"/>
  <c r="AP49" i="79" s="1"/>
  <c r="AP50" i="79" s="1"/>
  <c r="AP51" i="79" s="1"/>
  <c r="AP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H58" i="81" l="1"/>
  <c r="AB33" i="79"/>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I58" i="81" l="1"/>
  <c r="AR7" i="79"/>
  <c r="AR8" i="79" s="1"/>
  <c r="AD33" i="79"/>
  <c r="AR34" i="79"/>
  <c r="AR35" i="79"/>
  <c r="AR36" i="79" s="1"/>
  <c r="C60" i="78"/>
  <c r="D60" i="78" s="1"/>
  <c r="D53" i="78"/>
  <c r="D52" i="78"/>
  <c r="D51" i="78" s="1"/>
  <c r="B51" i="78"/>
  <c r="B56" i="78" s="1"/>
  <c r="J58" i="81" l="1"/>
  <c r="B55" i="78"/>
  <c r="D55" i="78" s="1"/>
  <c r="C51" i="78"/>
  <c r="C56" i="78" s="1"/>
  <c r="C58" i="78" s="1"/>
  <c r="B62" i="78"/>
  <c r="B54" i="78"/>
  <c r="D54" i="78" s="1"/>
  <c r="D56" i="78" s="1"/>
  <c r="K58" i="81" l="1"/>
  <c r="D58" i="78"/>
  <c r="D62" i="78" s="1"/>
  <c r="C62" i="78" s="1"/>
  <c r="L58" i="81" l="1"/>
  <c r="G15" i="73"/>
  <c r="F15" i="73"/>
  <c r="E15" i="73"/>
  <c r="M58" i="81" l="1"/>
  <c r="N58" i="81" s="1"/>
  <c r="O58" i="81" s="1"/>
  <c r="H7" i="8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B7" i="81" l="1"/>
  <c r="T48" i="81" s="1"/>
  <c r="G48" i="81" s="1"/>
  <c r="U7" i="81"/>
  <c r="J7" i="81"/>
  <c r="F7" i="81"/>
  <c r="AR37" i="79"/>
  <c r="AR38" i="79" s="1"/>
  <c r="P36" i="79"/>
  <c r="AR10" i="79"/>
  <c r="G16" i="73"/>
  <c r="F16" i="73"/>
  <c r="E16" i="73"/>
  <c r="G17" i="73"/>
  <c r="F17" i="73"/>
  <c r="E17" i="73"/>
  <c r="W7" i="81" l="1"/>
  <c r="AC7" i="81"/>
  <c r="V48" i="81" s="1"/>
  <c r="I48" i="81" s="1"/>
  <c r="G53" i="81" s="1"/>
  <c r="H53" i="81" s="1"/>
  <c r="G52" i="81"/>
  <c r="H52" i="81" s="1"/>
  <c r="S7" i="81"/>
  <c r="AA7" i="81"/>
  <c r="R48" i="81" s="1"/>
  <c r="AB38" i="79"/>
  <c r="AA38" i="79"/>
  <c r="Z38" i="79"/>
  <c r="N38" i="79"/>
  <c r="M38" i="79"/>
  <c r="L38" i="79"/>
  <c r="I38" i="79"/>
  <c r="AC10" i="79"/>
  <c r="AB10" i="79"/>
  <c r="AA10" i="79"/>
  <c r="AD10" i="79" s="1"/>
  <c r="Z10" i="79"/>
  <c r="Y10" i="79"/>
  <c r="O10" i="79"/>
  <c r="N10" i="79"/>
  <c r="M10" i="79"/>
  <c r="P10" i="79" s="1"/>
  <c r="L10" i="79"/>
  <c r="K10" i="79"/>
  <c r="I10" i="79"/>
  <c r="AR11" i="79" s="1"/>
  <c r="I52" i="81" l="1"/>
  <c r="J52" i="81" s="1"/>
  <c r="R49" i="81"/>
  <c r="E48" i="81"/>
  <c r="I53" i="81" s="1"/>
  <c r="J53" i="81" s="1"/>
  <c r="P38" i="79"/>
  <c r="AR39" i="79"/>
  <c r="I13" i="79"/>
  <c r="E52" i="81" l="1"/>
  <c r="F52" i="81" s="1"/>
  <c r="E53" i="81"/>
  <c r="F53" i="81" s="1"/>
  <c r="C49" i="81"/>
  <c r="C48" i="81"/>
  <c r="U6" i="1" s="1"/>
  <c r="I41" i="79"/>
  <c r="I40" i="79"/>
  <c r="N40" i="79"/>
  <c r="M40" i="79"/>
  <c r="P40" i="79" s="1"/>
  <c r="L40" i="79"/>
  <c r="N41" i="79"/>
  <c r="M41" i="79"/>
  <c r="L41" i="79"/>
  <c r="O12" i="79"/>
  <c r="N12" i="79"/>
  <c r="M12" i="79"/>
  <c r="P12" i="79" s="1"/>
  <c r="L12" i="79"/>
  <c r="K12" i="79"/>
  <c r="O13" i="79"/>
  <c r="N13" i="79"/>
  <c r="M13" i="79"/>
  <c r="P13" i="79" s="1"/>
  <c r="L13" i="79"/>
  <c r="K13" i="79"/>
  <c r="B3" i="81" l="1"/>
  <c r="B2" i="81"/>
  <c r="P41" i="79"/>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40" i="79" l="1"/>
  <c r="U46" i="79"/>
  <c r="AI46" i="79" s="1"/>
  <c r="AD47" i="79"/>
  <c r="S48" i="79"/>
  <c r="AG48" i="79" s="1"/>
  <c r="U50" i="79"/>
  <c r="AI50" i="79" s="1"/>
  <c r="AD51" i="79"/>
  <c r="W22" i="79"/>
  <c r="AK22" i="79" s="1"/>
  <c r="AH22" i="79"/>
  <c r="AA31" i="79"/>
  <c r="AD31" i="79" s="1"/>
  <c r="AR18" i="79"/>
  <c r="AR19" i="79" s="1"/>
  <c r="AR20" i="79" s="1"/>
  <c r="AR21" i="79" s="1"/>
  <c r="AR22" i="79" s="1"/>
  <c r="AR23" i="79" s="1"/>
  <c r="AR24" i="79" s="1"/>
  <c r="T33" i="79"/>
  <c r="T35" i="79"/>
  <c r="T34" i="79"/>
  <c r="AD38" i="79"/>
  <c r="AD36" i="79"/>
  <c r="AD37" i="79"/>
  <c r="AD35" i="79"/>
  <c r="AD34" i="79"/>
  <c r="AR40" i="79"/>
  <c r="AR41" i="79" s="1"/>
  <c r="AR42" i="79" s="1"/>
  <c r="AR43" i="79" s="1"/>
  <c r="AR44" i="79" s="1"/>
  <c r="AR45" i="79" s="1"/>
  <c r="AR46" i="79" s="1"/>
  <c r="AR47" i="79" s="1"/>
  <c r="AR48" i="79" s="1"/>
  <c r="AR49" i="79" s="1"/>
  <c r="AR50" i="79" s="1"/>
  <c r="AR51" i="79" s="1"/>
  <c r="AR52" i="79" s="1"/>
  <c r="Z3" i="79"/>
  <c r="S35" i="79"/>
  <c r="AG35" i="79" s="1"/>
  <c r="S33" i="79"/>
  <c r="AG33" i="79" s="1"/>
  <c r="S34" i="79"/>
  <c r="AG3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1" i="79" l="1"/>
  <c r="AK11" i="79" s="1"/>
  <c r="AH11" i="79"/>
  <c r="W17" i="79"/>
  <c r="AK17" i="79" s="1"/>
  <c r="AH17" i="79"/>
  <c r="W10" i="79"/>
  <c r="AK10" i="79" s="1"/>
  <c r="AH10" i="79"/>
  <c r="W18" i="79"/>
  <c r="AK18" i="79" s="1"/>
  <c r="AH18" i="79"/>
  <c r="W20" i="79"/>
  <c r="AK20" i="79" s="1"/>
  <c r="AH20" i="79"/>
  <c r="W35" i="79"/>
  <c r="AK35" i="79" s="1"/>
  <c r="AH35"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3" i="79"/>
  <c r="AK33" i="79" s="1"/>
  <c r="AH33" i="79"/>
  <c r="W15" i="79"/>
  <c r="AK15" i="79" s="1"/>
  <c r="AH15" i="79"/>
  <c r="W13" i="79"/>
  <c r="AK13" i="79" s="1"/>
  <c r="AH13" i="79"/>
  <c r="W48" i="79"/>
  <c r="AK48" i="79" s="1"/>
  <c r="AH48" i="79"/>
  <c r="W49" i="79"/>
  <c r="AK49" i="79" s="1"/>
  <c r="AH49" i="79"/>
  <c r="W43" i="79"/>
  <c r="AK43" i="79" s="1"/>
  <c r="AH43" i="79"/>
  <c r="W38" i="79"/>
  <c r="AK38" i="79" s="1"/>
  <c r="AH38" i="79"/>
  <c r="W23" i="79"/>
  <c r="AK23" i="79" s="1"/>
  <c r="AH23" i="79"/>
  <c r="W12" i="79"/>
  <c r="AK12" i="79" s="1"/>
  <c r="AH12" i="79"/>
  <c r="W21" i="79"/>
  <c r="AK21" i="79" s="1"/>
  <c r="AH21" i="79"/>
  <c r="W47" i="79"/>
  <c r="AK47" i="79" s="1"/>
  <c r="AH47" i="79"/>
  <c r="W45" i="79"/>
  <c r="AK45" i="79" s="1"/>
  <c r="AH45"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E26" i="77"/>
  <c r="E38" i="77"/>
  <c r="E39" i="77" s="1"/>
  <c r="C40" i="77" s="1"/>
  <c r="B2" i="77" s="1"/>
  <c r="E29" i="77"/>
  <c r="E32" i="77" s="1"/>
  <c r="AH10" i="71"/>
  <c r="AG10" i="71"/>
  <c r="AE10" i="71"/>
  <c r="AF10" i="71" s="1"/>
  <c r="AD10" i="71"/>
  <c r="Q10" i="71"/>
  <c r="P10" i="71"/>
  <c r="O10" i="71"/>
  <c r="N10" i="71"/>
  <c r="R5" i="77" l="1"/>
  <c r="U5" i="77" s="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V24"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F66"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C59" i="71" s="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AA35" i="71" s="1"/>
  <c r="O35" i="71"/>
  <c r="N35" i="71"/>
  <c r="Q34" i="71"/>
  <c r="AB34" i="71"/>
  <c r="P34" i="71"/>
  <c r="O34" i="71"/>
  <c r="N34" i="71"/>
  <c r="Q33" i="71"/>
  <c r="AB28" i="71" s="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Y29" i="71" s="1"/>
  <c r="Z29" i="71" s="1"/>
  <c r="N29" i="71"/>
  <c r="D29" i="71"/>
  <c r="O28" i="71"/>
  <c r="N28" i="71"/>
  <c r="X26" i="71" s="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D50" i="71"/>
  <c r="P28" i="71"/>
  <c r="AA3" i="71" s="1"/>
  <c r="E60" i="71"/>
  <c r="U60" i="71" s="1"/>
  <c r="U68" i="71"/>
  <c r="E67" i="71"/>
  <c r="E66" i="71" s="1"/>
  <c r="Q28" i="71"/>
  <c r="C55" i="71"/>
  <c r="C56" i="71" s="1"/>
  <c r="D54" i="71"/>
  <c r="D58" i="71"/>
  <c r="C63" i="71"/>
  <c r="C64" i="71" s="1"/>
  <c r="D62" i="71"/>
  <c r="Q67" i="71"/>
  <c r="T68" i="71"/>
  <c r="O68" i="71"/>
  <c r="D68" i="71"/>
  <c r="C67" i="71"/>
  <c r="Q68" i="71"/>
  <c r="E71" i="71"/>
  <c r="E70" i="71"/>
  <c r="C75" i="71"/>
  <c r="D76" i="71"/>
  <c r="D80" i="71"/>
  <c r="C87" i="71"/>
  <c r="C86" i="71" s="1"/>
  <c r="D86" i="71" s="1"/>
  <c r="F28" i="71"/>
  <c r="F27" i="71"/>
  <c r="F26" i="71" s="1"/>
  <c r="D75" i="71"/>
  <c r="C74" i="71"/>
  <c r="D74" i="71" s="1"/>
  <c r="D87" i="7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Q29" i="39"/>
  <c r="Z29" i="39" s="1"/>
  <c r="D102" i="39"/>
  <c r="E102" i="39" s="1"/>
  <c r="F102" i="39" s="1"/>
  <c r="G102" i="39" s="1"/>
  <c r="F29" i="39"/>
  <c r="AA29" i="39" s="1"/>
  <c r="Q18" i="36"/>
  <c r="Z18" i="36" s="1"/>
  <c r="D66" i="36"/>
  <c r="E66" i="36"/>
  <c r="F66" i="36" s="1"/>
  <c r="G66" i="36" s="1"/>
  <c r="H18" i="36"/>
  <c r="AB18" i="36" s="1"/>
  <c r="F18" i="36"/>
  <c r="AA18" i="36" s="1"/>
  <c r="C18" i="36"/>
  <c r="Q18" i="35"/>
  <c r="Z18" i="35" s="1"/>
  <c r="D68" i="35"/>
  <c r="E68" i="35" s="1"/>
  <c r="F68" i="35" s="1"/>
  <c r="G68" i="35" s="1"/>
  <c r="F18" i="35"/>
  <c r="S18" i="35" s="1"/>
  <c r="C18" i="35"/>
  <c r="Z21" i="37"/>
  <c r="Q21" i="37"/>
  <c r="D77" i="37"/>
  <c r="E77" i="37" s="1"/>
  <c r="F77" i="37" s="1"/>
  <c r="G77" i="37" s="1"/>
  <c r="C21" i="37"/>
  <c r="Q21" i="34"/>
  <c r="Z21" i="34" s="1"/>
  <c r="D84" i="34"/>
  <c r="E84" i="34" s="1"/>
  <c r="F21" i="34"/>
  <c r="S21" i="34" s="1"/>
  <c r="C21" i="34"/>
  <c r="Q21" i="33"/>
  <c r="Z21" i="33" s="1"/>
  <c r="D83" i="33"/>
  <c r="E83" i="33" s="1"/>
  <c r="F83" i="33" s="1"/>
  <c r="G83" i="33" s="1"/>
  <c r="C21" i="33"/>
  <c r="C21" i="21"/>
  <c r="Q21" i="21"/>
  <c r="Z21" i="21" s="1"/>
  <c r="H19" i="21"/>
  <c r="D83" i="21"/>
  <c r="F21" i="21"/>
  <c r="AA21" i="21" s="1"/>
  <c r="D81" i="21"/>
  <c r="G20" i="20"/>
  <c r="C25" i="40" s="1"/>
  <c r="C22" i="20"/>
  <c r="B100" i="43" s="1"/>
  <c r="B57" i="43"/>
  <c r="B68" i="43"/>
  <c r="C29" i="39"/>
  <c r="S18" i="36"/>
  <c r="H25" i="40"/>
  <c r="AB25" i="40" s="1"/>
  <c r="J25" i="40"/>
  <c r="H29" i="39"/>
  <c r="J29" i="39"/>
  <c r="J18" i="36"/>
  <c r="AC18" i="36" s="1"/>
  <c r="H18" i="35"/>
  <c r="AB18" i="35" s="1"/>
  <c r="J18" i="35"/>
  <c r="H21" i="37"/>
  <c r="F21" i="37"/>
  <c r="F84" i="34"/>
  <c r="G84" i="34" s="1"/>
  <c r="H21" i="34"/>
  <c r="AB21" i="34" s="1"/>
  <c r="H21" i="33"/>
  <c r="U21" i="33" s="1"/>
  <c r="F21" i="33"/>
  <c r="E83" i="21"/>
  <c r="F83" i="21" s="1"/>
  <c r="G83" i="21" s="1"/>
  <c r="H1" i="69"/>
  <c r="AC25" i="40"/>
  <c r="W25" i="40"/>
  <c r="U25" i="40"/>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AC21" i="21" s="1"/>
  <c r="F38" i="68"/>
  <c r="E37" i="68"/>
  <c r="F36" i="68"/>
  <c r="F35" i="68"/>
  <c r="F21" i="68"/>
  <c r="F20" i="68"/>
  <c r="F39" i="68" s="1"/>
  <c r="E10" i="68"/>
  <c r="E9"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M55" i="43"/>
  <c r="N55" i="43" s="1"/>
  <c r="K55" i="43"/>
  <c r="J55" i="43"/>
  <c r="D55" i="43"/>
  <c r="M54" i="43"/>
  <c r="N54" i="43" s="1"/>
  <c r="K54" i="43"/>
  <c r="J54" i="43" s="1"/>
  <c r="D54" i="43"/>
  <c r="M53" i="43"/>
  <c r="N53" i="43" s="1"/>
  <c r="K53" i="43"/>
  <c r="J53" i="43" s="1"/>
  <c r="D53" i="43"/>
  <c r="M52" i="43"/>
  <c r="N52" i="43" s="1"/>
  <c r="K52" i="43"/>
  <c r="J52" i="43" s="1"/>
  <c r="M51" i="43"/>
  <c r="N51" i="43" s="1"/>
  <c r="K51" i="43"/>
  <c r="J51" i="43" s="1"/>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A100" i="3" s="1"/>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A92" i="3" s="1"/>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L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A72" i="3" s="1"/>
  <c r="BB72" i="3"/>
  <c r="AX72" i="3"/>
  <c r="AW72" i="3"/>
  <c r="AV72" i="3"/>
  <c r="AC72" i="3"/>
  <c r="G72" i="3" s="1"/>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s="1"/>
  <c r="BT70" i="3"/>
  <c r="BS70" i="3"/>
  <c r="BR70" i="3"/>
  <c r="BQ70" i="3"/>
  <c r="BP70" i="3"/>
  <c r="BO70" i="3"/>
  <c r="BN70" i="3"/>
  <c r="BM70" i="3"/>
  <c r="BK70" i="3"/>
  <c r="BJ70" i="3"/>
  <c r="BI70" i="3"/>
  <c r="BH70" i="3"/>
  <c r="BG70" i="3"/>
  <c r="BF70" i="3"/>
  <c r="BE70" i="3"/>
  <c r="BD70" i="3"/>
  <c r="BC70" i="3"/>
  <c r="BA70" i="3" s="1"/>
  <c r="BB70" i="3"/>
  <c r="AX70" i="3"/>
  <c r="AW70" i="3"/>
  <c r="AV70" i="3"/>
  <c r="AC70" i="3"/>
  <c r="H70" i="3"/>
  <c r="BT69" i="3"/>
  <c r="BS69" i="3"/>
  <c r="BR69" i="3"/>
  <c r="BQ69" i="3"/>
  <c r="BP69" i="3"/>
  <c r="BO69" i="3"/>
  <c r="BN69" i="3"/>
  <c r="BM69" i="3"/>
  <c r="BL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A67" i="3" s="1"/>
  <c r="BB67" i="3"/>
  <c r="AX67" i="3"/>
  <c r="AW67" i="3"/>
  <c r="AV67" i="3"/>
  <c r="AC67" i="3"/>
  <c r="G67" i="3" s="1"/>
  <c r="H67" i="3"/>
  <c r="BT66" i="3"/>
  <c r="BS66" i="3"/>
  <c r="BR66" i="3"/>
  <c r="BQ66" i="3"/>
  <c r="BP66" i="3"/>
  <c r="BO66" i="3"/>
  <c r="BN66" i="3"/>
  <c r="BM66" i="3"/>
  <c r="BK66" i="3"/>
  <c r="BJ66" i="3"/>
  <c r="BI66" i="3"/>
  <c r="BH66" i="3"/>
  <c r="BG66" i="3"/>
  <c r="BF66" i="3"/>
  <c r="BE66" i="3"/>
  <c r="BD66" i="3"/>
  <c r="BC66" i="3"/>
  <c r="BA66" i="3" s="1"/>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L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A63" i="3" s="1"/>
  <c r="BB63" i="3"/>
  <c r="AX63" i="3"/>
  <c r="AW63" i="3"/>
  <c r="AV63" i="3"/>
  <c r="AC63" i="3"/>
  <c r="H63" i="3"/>
  <c r="G63" i="3" s="1"/>
  <c r="BT62" i="3"/>
  <c r="BS62" i="3"/>
  <c r="BR62" i="3"/>
  <c r="BQ62" i="3"/>
  <c r="BP62" i="3"/>
  <c r="BO62" i="3"/>
  <c r="BN62" i="3"/>
  <c r="BM62" i="3"/>
  <c r="BK62" i="3"/>
  <c r="BJ62" i="3"/>
  <c r="BI62" i="3"/>
  <c r="BH62" i="3"/>
  <c r="BG62" i="3"/>
  <c r="BF62" i="3"/>
  <c r="BE62" i="3"/>
  <c r="BD62" i="3"/>
  <c r="BC62" i="3"/>
  <c r="BA62" i="3" s="1"/>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A57" i="3" s="1"/>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s="1"/>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L53" i="3" s="1"/>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L44" i="3" s="1"/>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L35" i="3" s="1"/>
  <c r="BM35" i="3"/>
  <c r="BK35" i="3"/>
  <c r="BJ35" i="3"/>
  <c r="BI35" i="3"/>
  <c r="BH35" i="3"/>
  <c r="BG35" i="3"/>
  <c r="BF35" i="3"/>
  <c r="BE35" i="3"/>
  <c r="BD35" i="3"/>
  <c r="BC35" i="3"/>
  <c r="BB35" i="3"/>
  <c r="AX35" i="3"/>
  <c r="AW35" i="3"/>
  <c r="AV35" i="3"/>
  <c r="AC35" i="3"/>
  <c r="H35" i="3"/>
  <c r="BT34" i="3"/>
  <c r="BS34" i="3"/>
  <c r="BR34" i="3"/>
  <c r="BQ34" i="3"/>
  <c r="BP34" i="3"/>
  <c r="BO34" i="3"/>
  <c r="BN34" i="3"/>
  <c r="BL34" i="3" s="1"/>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G26" i="3" s="1"/>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L24" i="3" s="1"/>
  <c r="BM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BA18" i="3" s="1"/>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L181" i="3" s="1"/>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A177" i="3" s="1"/>
  <c r="AZ177" i="3" s="1"/>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L173" i="3" s="1"/>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A125" i="3" s="1"/>
  <c r="AZ125" i="3" s="1"/>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A270" i="3" s="1"/>
  <c r="AZ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L350" i="3" s="1"/>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L308" i="3" s="1"/>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L488" i="3" s="1"/>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L479" i="3" s="1"/>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A470" i="3" s="1"/>
  <c r="BC470" i="3"/>
  <c r="BB470" i="3"/>
  <c r="AX470" i="3"/>
  <c r="AW470" i="3"/>
  <c r="AV470" i="3"/>
  <c r="AC470" i="3"/>
  <c r="H470" i="3"/>
  <c r="G470" i="3" s="1"/>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G466" i="3" s="1"/>
  <c r="H466" i="3"/>
  <c r="BT465" i="3"/>
  <c r="BS465" i="3"/>
  <c r="BR465" i="3"/>
  <c r="BQ465" i="3"/>
  <c r="BP465" i="3"/>
  <c r="BO465" i="3"/>
  <c r="BL465" i="3" s="1"/>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G464" i="3" s="1"/>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A452" i="3" s="1"/>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L449" i="3" s="1"/>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L440" i="3" s="1"/>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L438" i="3" s="1"/>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A410" i="3" s="1"/>
  <c r="BC410" i="3"/>
  <c r="BB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L406" i="3" s="1"/>
  <c r="BN406" i="3"/>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A405" i="3" s="1"/>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s="1"/>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L402" i="3" s="1"/>
  <c r="BN402" i="3"/>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U31" i="35" s="1"/>
  <c r="F31" i="35"/>
  <c r="AA31" i="35" s="1"/>
  <c r="D87" i="35"/>
  <c r="E87" i="35" s="1"/>
  <c r="F87" i="35" s="1"/>
  <c r="G87" i="35"/>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S34" i="40" s="1"/>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s="1"/>
  <c r="J28" i="36"/>
  <c r="AC28" i="36" s="1"/>
  <c r="Q27" i="36"/>
  <c r="Z27" i="36"/>
  <c r="Q26" i="36"/>
  <c r="Z26" i="36" s="1"/>
  <c r="H26" i="36"/>
  <c r="AB26" i="36" s="1"/>
  <c r="Q25" i="36"/>
  <c r="Z25" i="36" s="1"/>
  <c r="Q24" i="36"/>
  <c r="Z24" i="36" s="1"/>
  <c r="Q23" i="36"/>
  <c r="Z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B77" i="35"/>
  <c r="B75" i="35"/>
  <c r="J24" i="35" s="1"/>
  <c r="AC24" i="35"/>
  <c r="B73" i="35"/>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c r="H12" i="34"/>
  <c r="F12" i="34"/>
  <c r="S12" i="34" s="1"/>
  <c r="Q11" i="34"/>
  <c r="Z11" i="34" s="1"/>
  <c r="Q10" i="34"/>
  <c r="Z10" i="34" s="1"/>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s="1"/>
  <c r="AA40" i="33"/>
  <c r="Q39" i="33"/>
  <c r="Z39" i="33"/>
  <c r="J39" i="33"/>
  <c r="AC39" i="33" s="1"/>
  <c r="Q38" i="33"/>
  <c r="Z38" i="33" s="1"/>
  <c r="J38" i="33"/>
  <c r="AC38" i="33" s="1"/>
  <c r="H38" i="33"/>
  <c r="AB38" i="33"/>
  <c r="F38" i="33"/>
  <c r="AA38" i="33" s="1"/>
  <c r="Q37" i="33"/>
  <c r="Z37" i="33" s="1"/>
  <c r="Q36" i="33"/>
  <c r="Z36" i="33" s="1"/>
  <c r="Q35" i="33"/>
  <c r="Z35" i="33"/>
  <c r="H35" i="33"/>
  <c r="AB35" i="33" s="1"/>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s="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AB38" i="21" s="1"/>
  <c r="H43" i="21"/>
  <c r="AB43" i="21" s="1"/>
  <c r="F38" i="21"/>
  <c r="S38" i="21" s="1"/>
  <c r="F36" i="21"/>
  <c r="S36" i="21" s="1"/>
  <c r="F39" i="21"/>
  <c r="AA39" i="21" s="1"/>
  <c r="J40" i="21"/>
  <c r="W40" i="21" s="1"/>
  <c r="H35" i="21"/>
  <c r="AB35" i="21"/>
  <c r="J8" i="21"/>
  <c r="AC8" i="21" s="1"/>
  <c r="H8" i="21"/>
  <c r="U8" i="21" s="1"/>
  <c r="H10" i="21"/>
  <c r="AB10" i="21" s="1"/>
  <c r="H39" i="21"/>
  <c r="U39" i="21" s="1"/>
  <c r="J34" i="21"/>
  <c r="W34" i="21" s="1"/>
  <c r="H36" i="21"/>
  <c r="U36" i="21" s="1"/>
  <c r="F35" i="21"/>
  <c r="AA35" i="21"/>
  <c r="J10" i="21"/>
  <c r="AC10" i="21" s="1"/>
  <c r="H26" i="21"/>
  <c r="AB26" i="21" s="1"/>
  <c r="AB19" i="21"/>
  <c r="J19" i="21"/>
  <c r="W19" i="21" s="1"/>
  <c r="J26" i="21"/>
  <c r="W26" i="21" s="1"/>
  <c r="F26" i="21"/>
  <c r="S26" i="21" s="1"/>
  <c r="AB41" i="21"/>
  <c r="AA41" i="21"/>
  <c r="F45" i="39"/>
  <c r="S45" i="39" s="1"/>
  <c r="J44" i="39"/>
  <c r="AC44" i="39"/>
  <c r="F36" i="39"/>
  <c r="S36" i="39" s="1"/>
  <c r="H36" i="39"/>
  <c r="AB36" i="39"/>
  <c r="J35" i="39"/>
  <c r="AC35" i="39" s="1"/>
  <c r="F35" i="39"/>
  <c r="AA35" i="39" s="1"/>
  <c r="J36" i="39"/>
  <c r="AC36" i="39" s="1"/>
  <c r="U9" i="39"/>
  <c r="W40" i="39"/>
  <c r="W25" i="37"/>
  <c r="U30" i="37"/>
  <c r="W31" i="37"/>
  <c r="F39" i="37"/>
  <c r="S39" i="37" s="1"/>
  <c r="F29" i="36"/>
  <c r="AA29" i="36" s="1"/>
  <c r="F16" i="36"/>
  <c r="AA16" i="36" s="1"/>
  <c r="W28" i="36"/>
  <c r="U31" i="36"/>
  <c r="J33" i="36"/>
  <c r="AC33" i="36" s="1"/>
  <c r="H22" i="35"/>
  <c r="AB22" i="35" s="1"/>
  <c r="AC27" i="35"/>
  <c r="W28" i="35"/>
  <c r="S31" i="35"/>
  <c r="U34" i="35"/>
  <c r="F36" i="34"/>
  <c r="J35" i="34"/>
  <c r="W9" i="34"/>
  <c r="U34" i="34"/>
  <c r="H39" i="33"/>
  <c r="AB39" i="33" s="1"/>
  <c r="F26" i="33"/>
  <c r="S40" i="33"/>
  <c r="W33" i="33"/>
  <c r="W39" i="33"/>
  <c r="H39" i="37"/>
  <c r="AB39" i="37"/>
  <c r="S27" i="35"/>
  <c r="F11" i="40"/>
  <c r="AA11" i="40" s="1"/>
  <c r="H11" i="40"/>
  <c r="AB11" i="40"/>
  <c r="AA9" i="40"/>
  <c r="U9" i="40"/>
  <c r="W31" i="40"/>
  <c r="U34" i="40"/>
  <c r="F42" i="39"/>
  <c r="AA42" i="39" s="1"/>
  <c r="F41" i="39"/>
  <c r="S41" i="39" s="1"/>
  <c r="H40" i="39"/>
  <c r="AB40" i="39" s="1"/>
  <c r="H39" i="39"/>
  <c r="U39" i="39" s="1"/>
  <c r="S38" i="39"/>
  <c r="S34" i="39"/>
  <c r="H34" i="39"/>
  <c r="U34" i="39" s="1"/>
  <c r="F31" i="39"/>
  <c r="AA31" i="39" s="1"/>
  <c r="E100" i="39"/>
  <c r="F100" i="39" s="1"/>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U27" i="39" s="1"/>
  <c r="J19" i="39"/>
  <c r="AC19" i="39" s="1"/>
  <c r="J17" i="39"/>
  <c r="J27" i="39"/>
  <c r="AC27" i="39"/>
  <c r="F27" i="39"/>
  <c r="F11" i="21"/>
  <c r="S11" i="21" s="1"/>
  <c r="S40" i="21"/>
  <c r="U34" i="21"/>
  <c r="C25" i="39"/>
  <c r="H11" i="39"/>
  <c r="C15" i="39"/>
  <c r="H32" i="33"/>
  <c r="H11" i="21"/>
  <c r="U11" i="21" s="1"/>
  <c r="J11" i="21"/>
  <c r="W11" i="21" s="1"/>
  <c r="H37" i="40"/>
  <c r="U37" i="40" s="1"/>
  <c r="H36" i="40"/>
  <c r="AB36" i="40" s="1"/>
  <c r="F35" i="40"/>
  <c r="AA35" i="40" s="1"/>
  <c r="H23" i="40"/>
  <c r="AB23" i="40" s="1"/>
  <c r="H17" i="40"/>
  <c r="U17" i="40"/>
  <c r="J15" i="40"/>
  <c r="W15" i="40" s="1"/>
  <c r="J11" i="40"/>
  <c r="W11" i="40" s="1"/>
  <c r="AB8" i="39"/>
  <c r="AC12" i="34"/>
  <c r="W32" i="40"/>
  <c r="S44" i="39"/>
  <c r="F37" i="39"/>
  <c r="AA37" i="39" s="1"/>
  <c r="J34" i="36"/>
  <c r="W34" i="36" s="1"/>
  <c r="U30" i="36"/>
  <c r="J30" i="35"/>
  <c r="W30" i="35" s="1"/>
  <c r="H30" i="35"/>
  <c r="AB30" i="35" s="1"/>
  <c r="F22" i="35"/>
  <c r="AA22" i="35"/>
  <c r="H10" i="35"/>
  <c r="U10" i="35" s="1"/>
  <c r="F33" i="36"/>
  <c r="AA33" i="36" s="1"/>
  <c r="W30" i="36"/>
  <c r="H16" i="36"/>
  <c r="AB16" i="36" s="1"/>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s="1"/>
  <c r="F16" i="35"/>
  <c r="S16" i="35"/>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F25" i="34"/>
  <c r="S25" i="34" s="1"/>
  <c r="H23" i="34"/>
  <c r="AB23" i="34" s="1"/>
  <c r="U23" i="34"/>
  <c r="J23" i="34"/>
  <c r="F19" i="34"/>
  <c r="H17" i="34"/>
  <c r="U17" i="34"/>
  <c r="F15" i="34"/>
  <c r="AA15" i="34" s="1"/>
  <c r="J15" i="34"/>
  <c r="H15" i="34"/>
  <c r="AB15" i="34" s="1"/>
  <c r="W8" i="34"/>
  <c r="F41" i="33"/>
  <c r="AA41" i="33" s="1"/>
  <c r="S38" i="33"/>
  <c r="E113" i="33"/>
  <c r="F32" i="33"/>
  <c r="AA32" i="33" s="1"/>
  <c r="J19" i="33"/>
  <c r="AC19" i="33"/>
  <c r="J15" i="33"/>
  <c r="AC15" i="33" s="1"/>
  <c r="F11" i="33"/>
  <c r="AA11" i="33" s="1"/>
  <c r="U40" i="33"/>
  <c r="W40" i="33"/>
  <c r="F37" i="40"/>
  <c r="AA37" i="40"/>
  <c r="F36" i="40"/>
  <c r="AA36" i="40" s="1"/>
  <c r="H28" i="40"/>
  <c r="U28" i="40"/>
  <c r="F23" i="40"/>
  <c r="AA23" i="40" s="1"/>
  <c r="F17" i="40"/>
  <c r="AA17" i="40" s="1"/>
  <c r="J17" i="40"/>
  <c r="W17" i="40"/>
  <c r="F15" i="40"/>
  <c r="S15" i="40" s="1"/>
  <c r="H15" i="40"/>
  <c r="AB15" i="40"/>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AA17" i="34"/>
  <c r="J17" i="34"/>
  <c r="W17" i="34" s="1"/>
  <c r="AB17"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I123" i="21"/>
  <c r="J123" i="21" s="1"/>
  <c r="K123" i="21" s="1"/>
  <c r="L123" i="21" s="1"/>
  <c r="M123" i="21" s="1"/>
  <c r="J42" i="21"/>
  <c r="AC42" i="21" s="1"/>
  <c r="H42" i="21"/>
  <c r="U42" i="21" s="1"/>
  <c r="J44" i="34"/>
  <c r="F44" i="34"/>
  <c r="AA44" i="34"/>
  <c r="J10" i="35"/>
  <c r="AC10" i="35" s="1"/>
  <c r="J14" i="21"/>
  <c r="W14" i="21" s="1"/>
  <c r="F14" i="21"/>
  <c r="S14" i="21" s="1"/>
  <c r="H14" i="21"/>
  <c r="U14" i="21"/>
  <c r="H28" i="21"/>
  <c r="AB28" i="21" s="1"/>
  <c r="F28" i="21"/>
  <c r="AA28" i="21" s="1"/>
  <c r="J28" i="21"/>
  <c r="H30" i="21"/>
  <c r="U30" i="21"/>
  <c r="F30" i="21"/>
  <c r="S30" i="21" s="1"/>
  <c r="J30" i="21"/>
  <c r="AC30" i="21" s="1"/>
  <c r="J44" i="21"/>
  <c r="AC44" i="21" s="1"/>
  <c r="H44" i="21"/>
  <c r="U44" i="21"/>
  <c r="F44" i="21"/>
  <c r="AA44" i="21" s="1"/>
  <c r="H46" i="21"/>
  <c r="U46" i="21" s="1"/>
  <c r="J46" i="21"/>
  <c r="F46" i="21"/>
  <c r="AA46" i="21"/>
  <c r="E119" i="21"/>
  <c r="F119" i="21" s="1"/>
  <c r="G119" i="21" s="1"/>
  <c r="H119" i="21" s="1"/>
  <c r="I119" i="21" s="1"/>
  <c r="J119" i="21" s="1"/>
  <c r="K119" i="21" s="1"/>
  <c r="L119" i="21" s="1"/>
  <c r="M119" i="21" s="1"/>
  <c r="H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J31" i="21"/>
  <c r="AC31" i="21" s="1"/>
  <c r="F31" i="21"/>
  <c r="S31" i="21" s="1"/>
  <c r="F45" i="21"/>
  <c r="AA45" i="21" s="1"/>
  <c r="F27" i="33"/>
  <c r="AA27" i="33"/>
  <c r="J13" i="33"/>
  <c r="H13" i="33"/>
  <c r="U13" i="33" s="1"/>
  <c r="F13" i="33"/>
  <c r="S13" i="33"/>
  <c r="J29" i="33"/>
  <c r="H29" i="33"/>
  <c r="U29" i="33" s="1"/>
  <c r="F29" i="33"/>
  <c r="S29" i="33" s="1"/>
  <c r="J31" i="33"/>
  <c r="W31" i="33"/>
  <c r="H31" i="33"/>
  <c r="F31" i="33"/>
  <c r="H45" i="33"/>
  <c r="U45" i="33"/>
  <c r="J45" i="33"/>
  <c r="W45" i="33" s="1"/>
  <c r="F45" i="33"/>
  <c r="J14" i="34"/>
  <c r="W14" i="34" s="1"/>
  <c r="F14" i="34"/>
  <c r="S14" i="34"/>
  <c r="H14" i="34"/>
  <c r="H30" i="34"/>
  <c r="F30" i="34"/>
  <c r="S30" i="34"/>
  <c r="J30" i="34"/>
  <c r="H32" i="34"/>
  <c r="F32" i="34"/>
  <c r="J32" i="34"/>
  <c r="W32" i="34" s="1"/>
  <c r="H46" i="34"/>
  <c r="U46" i="34"/>
  <c r="F46" i="34"/>
  <c r="J46" i="34"/>
  <c r="H11" i="35"/>
  <c r="AB11" i="35" s="1"/>
  <c r="J11" i="35"/>
  <c r="W11" i="35" s="1"/>
  <c r="F11" i="35"/>
  <c r="S11" i="35" s="1"/>
  <c r="J26" i="36"/>
  <c r="W26" i="36"/>
  <c r="H28" i="36"/>
  <c r="U28" i="36" s="1"/>
  <c r="H32" i="36"/>
  <c r="AB32" i="36" s="1"/>
  <c r="J32" i="36"/>
  <c r="W32" i="36" s="1"/>
  <c r="J11" i="36"/>
  <c r="AC11" i="36" s="1"/>
  <c r="H11" i="36"/>
  <c r="U11" i="36" s="1"/>
  <c r="F11" i="36"/>
  <c r="H13" i="36"/>
  <c r="AB13" i="36"/>
  <c r="J13" i="36"/>
  <c r="F13" i="36"/>
  <c r="S13" i="36" s="1"/>
  <c r="E89" i="37"/>
  <c r="F89" i="37" s="1"/>
  <c r="G89" i="37" s="1"/>
  <c r="H89" i="37" s="1"/>
  <c r="I89" i="37" s="1"/>
  <c r="J89" i="37"/>
  <c r="K89" i="37" s="1"/>
  <c r="L89" i="37" s="1"/>
  <c r="M89" i="37" s="1"/>
  <c r="J29" i="37"/>
  <c r="W29" i="37" s="1"/>
  <c r="F29" i="37"/>
  <c r="S29" i="37" s="1"/>
  <c r="F105" i="37"/>
  <c r="G105" i="37" s="1"/>
  <c r="H36" i="37"/>
  <c r="AB36" i="37"/>
  <c r="F107" i="37"/>
  <c r="J37" i="37"/>
  <c r="AC37" i="37" s="1"/>
  <c r="H37" i="37"/>
  <c r="U37" i="37"/>
  <c r="H40" i="37"/>
  <c r="U40" i="37" s="1"/>
  <c r="J40" i="37"/>
  <c r="F40" i="37"/>
  <c r="AA40" i="37" s="1"/>
  <c r="AC12" i="40"/>
  <c r="W12" i="40"/>
  <c r="H14" i="33"/>
  <c r="U14" i="33" s="1"/>
  <c r="F14" i="33"/>
  <c r="S14" i="33" s="1"/>
  <c r="J14" i="33"/>
  <c r="H30" i="33"/>
  <c r="AB30" i="33"/>
  <c r="F30" i="33"/>
  <c r="J30" i="33"/>
  <c r="H44" i="33"/>
  <c r="J44" i="33"/>
  <c r="AC44" i="33" s="1"/>
  <c r="F44" i="33"/>
  <c r="S44" i="33" s="1"/>
  <c r="J46" i="33"/>
  <c r="AC46" i="33"/>
  <c r="F46" i="33"/>
  <c r="AA46" i="33" s="1"/>
  <c r="H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AC47" i="34" s="1"/>
  <c r="F13" i="35"/>
  <c r="J13" i="35"/>
  <c r="AC13" i="35"/>
  <c r="H13" i="35"/>
  <c r="U13" i="35" s="1"/>
  <c r="J25" i="35"/>
  <c r="W25" i="35" s="1"/>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J28" i="37"/>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J14" i="40"/>
  <c r="W14" i="40" s="1"/>
  <c r="F14" i="40"/>
  <c r="AA14" i="40"/>
  <c r="J14" i="37"/>
  <c r="J27" i="37"/>
  <c r="AC27" i="37" s="1"/>
  <c r="AA14" i="33"/>
  <c r="J36" i="37"/>
  <c r="AC36" i="37"/>
  <c r="J10" i="36"/>
  <c r="AC10" i="36" s="1"/>
  <c r="AB30" i="21"/>
  <c r="AA14" i="37"/>
  <c r="AB46" i="34"/>
  <c r="AA14" i="34"/>
  <c r="AB45" i="33"/>
  <c r="S44" i="34"/>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AZ542" i="3" s="1"/>
  <c r="BL538" i="3"/>
  <c r="BL534" i="3"/>
  <c r="BL530" i="3"/>
  <c r="BL526" i="3"/>
  <c r="BL522" i="3"/>
  <c r="BL516" i="3"/>
  <c r="BL512" i="3"/>
  <c r="BL506" i="3"/>
  <c r="AZ506" i="3" s="1"/>
  <c r="BL502" i="3"/>
  <c r="BL498" i="3"/>
  <c r="BL494" i="3"/>
  <c r="BL582" i="3"/>
  <c r="BL578" i="3"/>
  <c r="BL574" i="3"/>
  <c r="BL570" i="3"/>
  <c r="BL566" i="3"/>
  <c r="BL562" i="3"/>
  <c r="BL556" i="3"/>
  <c r="BL552" i="3"/>
  <c r="BL544" i="3"/>
  <c r="AZ544" i="3" s="1"/>
  <c r="BL540" i="3"/>
  <c r="BL536" i="3"/>
  <c r="G533" i="3"/>
  <c r="BL532" i="3"/>
  <c r="G529" i="3"/>
  <c r="BL528" i="3"/>
  <c r="G525" i="3"/>
  <c r="BL524" i="3"/>
  <c r="BL518" i="3"/>
  <c r="BL514" i="3"/>
  <c r="BL510" i="3"/>
  <c r="BL504" i="3"/>
  <c r="AZ504" i="3" s="1"/>
  <c r="BL500" i="3"/>
  <c r="BL496" i="3"/>
  <c r="G493" i="3"/>
  <c r="BA584" i="3"/>
  <c r="AZ584" i="3" s="1"/>
  <c r="BA582" i="3"/>
  <c r="BA580" i="3"/>
  <c r="BA578" i="3"/>
  <c r="BA576" i="3"/>
  <c r="AZ576" i="3" s="1"/>
  <c r="BA574" i="3"/>
  <c r="BA572" i="3"/>
  <c r="AZ572" i="3" s="1"/>
  <c r="BA570" i="3"/>
  <c r="AZ570" i="3" s="1"/>
  <c r="BA568" i="3"/>
  <c r="AZ568" i="3" s="1"/>
  <c r="BA566" i="3"/>
  <c r="BA564" i="3"/>
  <c r="BA562" i="3"/>
  <c r="BA560" i="3"/>
  <c r="AZ560" i="3" s="1"/>
  <c r="BA558" i="3"/>
  <c r="BA556" i="3"/>
  <c r="AZ556" i="3"/>
  <c r="BA554" i="3"/>
  <c r="AZ554" i="3"/>
  <c r="BA552" i="3"/>
  <c r="AZ552" i="3"/>
  <c r="BA548" i="3"/>
  <c r="BA546" i="3"/>
  <c r="AZ546" i="3" s="1"/>
  <c r="BA544" i="3"/>
  <c r="BA542" i="3"/>
  <c r="BA540" i="3"/>
  <c r="BA538" i="3"/>
  <c r="AZ538" i="3" s="1"/>
  <c r="BA536" i="3"/>
  <c r="AZ536" i="3" s="1"/>
  <c r="BA534" i="3"/>
  <c r="AZ534" i="3" s="1"/>
  <c r="BA532" i="3"/>
  <c r="BA530" i="3"/>
  <c r="BA528" i="3"/>
  <c r="BA526" i="3"/>
  <c r="BA524" i="3"/>
  <c r="BA522" i="3"/>
  <c r="BA520" i="3"/>
  <c r="BA518" i="3"/>
  <c r="AZ518" i="3" s="1"/>
  <c r="BA516" i="3"/>
  <c r="BA514" i="3"/>
  <c r="AZ514" i="3" s="1"/>
  <c r="BA512" i="3"/>
  <c r="AZ512" i="3"/>
  <c r="BA510" i="3"/>
  <c r="AZ510" i="3"/>
  <c r="BA508" i="3"/>
  <c r="BA506" i="3"/>
  <c r="BA504" i="3"/>
  <c r="BA502" i="3"/>
  <c r="BA500" i="3"/>
  <c r="BA498" i="3"/>
  <c r="AZ498" i="3"/>
  <c r="BA496" i="3"/>
  <c r="BA494" i="3"/>
  <c r="BA587" i="3"/>
  <c r="BA583" i="3"/>
  <c r="BA581" i="3"/>
  <c r="BA579" i="3"/>
  <c r="BA577" i="3"/>
  <c r="BA575" i="3"/>
  <c r="BA573" i="3"/>
  <c r="BA571" i="3"/>
  <c r="BA569" i="3"/>
  <c r="BA567" i="3"/>
  <c r="BA565" i="3"/>
  <c r="AZ565" i="3" s="1"/>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AZ558" i="3" s="1"/>
  <c r="BA557" i="3"/>
  <c r="AC557" i="3"/>
  <c r="G557" i="3" s="1"/>
  <c r="BQ557" i="3"/>
  <c r="BL557" i="3" s="1"/>
  <c r="BQ583" i="3"/>
  <c r="BL583" i="3" s="1"/>
  <c r="AZ583" i="3" s="1"/>
  <c r="BQ581" i="3"/>
  <c r="BL581" i="3"/>
  <c r="BQ579" i="3"/>
  <c r="BL579" i="3"/>
  <c r="BQ577" i="3"/>
  <c r="BL577" i="3" s="1"/>
  <c r="BQ575" i="3"/>
  <c r="BL575" i="3" s="1"/>
  <c r="BQ573" i="3"/>
  <c r="BL573" i="3" s="1"/>
  <c r="AZ573" i="3" s="1"/>
  <c r="BQ571" i="3"/>
  <c r="BL571" i="3"/>
  <c r="BQ569" i="3"/>
  <c r="BL569" i="3" s="1"/>
  <c r="BQ567" i="3"/>
  <c r="BL567" i="3" s="1"/>
  <c r="BQ565" i="3"/>
  <c r="BL565" i="3" s="1"/>
  <c r="BQ563" i="3"/>
  <c r="BL563" i="3" s="1"/>
  <c r="BQ561" i="3"/>
  <c r="BL561" i="3" s="1"/>
  <c r="AZ561" i="3" s="1"/>
  <c r="BQ559" i="3"/>
  <c r="BL559" i="3" s="1"/>
  <c r="AZ559" i="3" s="1"/>
  <c r="G559" i="3"/>
  <c r="G555" i="3"/>
  <c r="G553" i="3"/>
  <c r="G549" i="3"/>
  <c r="G547" i="3"/>
  <c r="G545" i="3"/>
  <c r="G543" i="3"/>
  <c r="G541" i="3"/>
  <c r="G539" i="3"/>
  <c r="G537" i="3"/>
  <c r="BQ555" i="3"/>
  <c r="BL555" i="3" s="1"/>
  <c r="BQ553" i="3"/>
  <c r="BL553" i="3" s="1"/>
  <c r="AZ553" i="3" s="1"/>
  <c r="BQ551" i="3"/>
  <c r="BL551" i="3" s="1"/>
  <c r="BQ549" i="3"/>
  <c r="BQ547" i="3"/>
  <c r="BL547" i="3" s="1"/>
  <c r="AZ547" i="3" s="1"/>
  <c r="BQ545" i="3"/>
  <c r="BL545" i="3" s="1"/>
  <c r="BQ543" i="3"/>
  <c r="BL543" i="3" s="1"/>
  <c r="AZ543" i="3" s="1"/>
  <c r="BQ541" i="3"/>
  <c r="BL541" i="3" s="1"/>
  <c r="AZ541" i="3" s="1"/>
  <c r="BQ539" i="3"/>
  <c r="BL539" i="3" s="1"/>
  <c r="AZ539" i="3" s="1"/>
  <c r="BQ537" i="3"/>
  <c r="BL537" i="3"/>
  <c r="BQ535" i="3"/>
  <c r="BL535" i="3" s="1"/>
  <c r="BQ533" i="3"/>
  <c r="BL533" i="3" s="1"/>
  <c r="AZ533" i="3" s="1"/>
  <c r="BQ531" i="3"/>
  <c r="BL531" i="3" s="1"/>
  <c r="AZ531" i="3" s="1"/>
  <c r="BQ529" i="3"/>
  <c r="BL529" i="3"/>
  <c r="BQ527" i="3"/>
  <c r="BL527" i="3" s="1"/>
  <c r="AZ527" i="3"/>
  <c r="BQ525" i="3"/>
  <c r="BL525" i="3"/>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BQ513" i="3"/>
  <c r="BL513" i="3" s="1"/>
  <c r="BQ511" i="3"/>
  <c r="BL511" i="3" s="1"/>
  <c r="AZ511" i="3" s="1"/>
  <c r="BA509" i="3"/>
  <c r="AC509" i="3"/>
  <c r="BQ509" i="3"/>
  <c r="BL509" i="3"/>
  <c r="BL508" i="3"/>
  <c r="AZ508" i="3"/>
  <c r="G507" i="3"/>
  <c r="G505" i="3"/>
  <c r="G503" i="3"/>
  <c r="G501" i="3"/>
  <c r="G499" i="3"/>
  <c r="G497" i="3"/>
  <c r="G495" i="3"/>
  <c r="BQ507" i="3"/>
  <c r="BQ505" i="3"/>
  <c r="BL505" i="3"/>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39" i="37"/>
  <c r="U26" i="37"/>
  <c r="W47" i="34"/>
  <c r="AC36" i="34"/>
  <c r="AA13" i="33"/>
  <c r="AC31" i="33"/>
  <c r="AC45" i="33"/>
  <c r="W44" i="33"/>
  <c r="U11" i="33"/>
  <c r="U19" i="21"/>
  <c r="W44" i="21"/>
  <c r="F43" i="33"/>
  <c r="AA43" i="33"/>
  <c r="W15" i="34"/>
  <c r="AC15" i="34"/>
  <c r="W16" i="35"/>
  <c r="G107" i="37"/>
  <c r="H107" i="37"/>
  <c r="I107" i="37" s="1"/>
  <c r="J107" i="37" s="1"/>
  <c r="K107" i="37" s="1"/>
  <c r="L107" i="37" s="1"/>
  <c r="M107" i="37" s="1"/>
  <c r="H37" i="21"/>
  <c r="U37" i="21" s="1"/>
  <c r="H19" i="34"/>
  <c r="AB19" i="34" s="1"/>
  <c r="F36" i="35"/>
  <c r="S36" i="35" s="1"/>
  <c r="J9" i="37"/>
  <c r="W9" i="37" s="1"/>
  <c r="H9" i="37"/>
  <c r="U9" i="37" s="1"/>
  <c r="F9" i="37"/>
  <c r="S9" i="37" s="1"/>
  <c r="J12" i="37"/>
  <c r="H12" i="37"/>
  <c r="AB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5" i="3"/>
  <c r="AA25" i="21"/>
  <c r="H19" i="40"/>
  <c r="U19" i="40" s="1"/>
  <c r="F88" i="40"/>
  <c r="G88" i="40" s="1"/>
  <c r="F19" i="40"/>
  <c r="S19" i="40" s="1"/>
  <c r="S14" i="40"/>
  <c r="AC13" i="40"/>
  <c r="AB33" i="40"/>
  <c r="W23" i="39"/>
  <c r="AC43" i="39"/>
  <c r="W43"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F11" i="39"/>
  <c r="S11" i="39" s="1"/>
  <c r="AA11" i="39"/>
  <c r="G4" i="4"/>
  <c r="I4" i="4"/>
  <c r="A2" i="9"/>
  <c r="F61" i="43"/>
  <c r="H64" i="43" s="1"/>
  <c r="AZ497" i="3"/>
  <c r="BL549" i="3"/>
  <c r="AZ549" i="3" s="1"/>
  <c r="AZ494" i="3"/>
  <c r="AZ522" i="3"/>
  <c r="AZ530" i="3"/>
  <c r="G546" i="3"/>
  <c r="G524" i="3"/>
  <c r="G303" i="3"/>
  <c r="BL304" i="3"/>
  <c r="G305" i="3"/>
  <c r="BL306" i="3"/>
  <c r="BA308" i="3"/>
  <c r="AZ308" i="3" s="1"/>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AZ359" i="3" s="1"/>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AZ115" i="3"/>
  <c r="BL116" i="3"/>
  <c r="G117" i="3"/>
  <c r="BA119" i="3"/>
  <c r="BL120" i="3"/>
  <c r="G121" i="3"/>
  <c r="BA123" i="3"/>
  <c r="BL124" i="3"/>
  <c r="G125" i="3"/>
  <c r="BA127" i="3"/>
  <c r="BL128" i="3"/>
  <c r="AZ128" i="3" s="1"/>
  <c r="G129" i="3"/>
  <c r="BA131" i="3"/>
  <c r="BL132" i="3"/>
  <c r="AZ132" i="3"/>
  <c r="G133" i="3"/>
  <c r="BA135" i="3"/>
  <c r="AZ135" i="3" s="1"/>
  <c r="BL136" i="3"/>
  <c r="G137" i="3"/>
  <c r="BA139" i="3"/>
  <c r="BL140" i="3"/>
  <c r="G141" i="3"/>
  <c r="BA143" i="3"/>
  <c r="BL144" i="3"/>
  <c r="G145" i="3"/>
  <c r="BA147" i="3"/>
  <c r="BL148" i="3"/>
  <c r="AZ148" i="3" s="1"/>
  <c r="G149" i="3"/>
  <c r="BA151" i="3"/>
  <c r="BL152" i="3"/>
  <c r="G153" i="3"/>
  <c r="BA155" i="3"/>
  <c r="BL156" i="3"/>
  <c r="AZ156" i="3"/>
  <c r="G157" i="3"/>
  <c r="BA159" i="3"/>
  <c r="AZ159" i="3" s="1"/>
  <c r="BL160" i="3"/>
  <c r="G161" i="3"/>
  <c r="BA163" i="3"/>
  <c r="AZ163" i="3" s="1"/>
  <c r="BL164" i="3"/>
  <c r="G165" i="3"/>
  <c r="BA167" i="3"/>
  <c r="BL168" i="3"/>
  <c r="AZ168" i="3" s="1"/>
  <c r="G169" i="3"/>
  <c r="BA171" i="3"/>
  <c r="BL172" i="3"/>
  <c r="G173" i="3"/>
  <c r="BA175" i="3"/>
  <c r="AZ175" i="3" s="1"/>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AZ342" i="3" s="1"/>
  <c r="BL342" i="3"/>
  <c r="BA344" i="3"/>
  <c r="BL344" i="3"/>
  <c r="AZ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86" i="3"/>
  <c r="AZ500" i="3"/>
  <c r="BA16" i="3"/>
  <c r="AZ16" i="3"/>
  <c r="BL303" i="3"/>
  <c r="AZ303" i="3" s="1"/>
  <c r="G304" i="3"/>
  <c r="BA306" i="3"/>
  <c r="BL307" i="3"/>
  <c r="AZ307" i="3" s="1"/>
  <c r="G308" i="3"/>
  <c r="BA310" i="3"/>
  <c r="AZ310" i="3" s="1"/>
  <c r="BL311" i="3"/>
  <c r="AZ311" i="3" s="1"/>
  <c r="G312" i="3"/>
  <c r="BA314" i="3"/>
  <c r="AZ314" i="3" s="1"/>
  <c r="BL315" i="3"/>
  <c r="G316" i="3"/>
  <c r="BA318" i="3"/>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BL392" i="3"/>
  <c r="AZ392" i="3" s="1"/>
  <c r="G393" i="3"/>
  <c r="AZ275" i="3"/>
  <c r="BO5" i="3"/>
  <c r="BM5" i="3"/>
  <c r="BJ5" i="3"/>
  <c r="BH5" i="3"/>
  <c r="BF5" i="3"/>
  <c r="BD5" i="3"/>
  <c r="AZ325" i="3"/>
  <c r="AZ341" i="3"/>
  <c r="AC5" i="3"/>
  <c r="AZ496" i="3"/>
  <c r="G548" i="3"/>
  <c r="G538" i="3"/>
  <c r="G520" i="3"/>
  <c r="G502" i="3"/>
  <c r="BS5" i="3"/>
  <c r="BP5" i="3"/>
  <c r="BN5" i="3"/>
  <c r="BK5" i="3"/>
  <c r="BI5" i="3"/>
  <c r="BG5" i="3"/>
  <c r="BE5" i="3"/>
  <c r="BC5" i="3"/>
  <c r="G17" i="3"/>
  <c r="BA17" i="3"/>
  <c r="BT5" i="3"/>
  <c r="BA15" i="3"/>
  <c r="BB5" i="3"/>
  <c r="BR5" i="3"/>
  <c r="AZ380" i="3"/>
  <c r="AZ499" i="3"/>
  <c r="AZ509" i="3"/>
  <c r="G509" i="3"/>
  <c r="BL493" i="3"/>
  <c r="AZ493" i="3"/>
  <c r="U36" i="40"/>
  <c r="F83" i="43"/>
  <c r="H85" i="43" s="1"/>
  <c r="F50" i="43"/>
  <c r="H54" i="43" s="1"/>
  <c r="F72" i="43"/>
  <c r="H75" i="43" s="1"/>
  <c r="U17" i="39"/>
  <c r="S14" i="35"/>
  <c r="U35" i="21"/>
  <c r="AC35" i="2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86" i="3"/>
  <c r="C40" i="11"/>
  <c r="AZ227" i="3"/>
  <c r="AZ235" i="3"/>
  <c r="AZ251" i="3"/>
  <c r="AZ50" i="3"/>
  <c r="AZ77" i="3"/>
  <c r="AZ82" i="3"/>
  <c r="F23" i="39"/>
  <c r="AA23" i="39"/>
  <c r="H27" i="36"/>
  <c r="U27" i="36" s="1"/>
  <c r="F27" i="36"/>
  <c r="AA27" i="36" s="1"/>
  <c r="H33" i="34"/>
  <c r="U33" i="34"/>
  <c r="F32" i="37"/>
  <c r="AA32" i="37"/>
  <c r="F20" i="36"/>
  <c r="AA20" i="36" s="1"/>
  <c r="J33" i="34"/>
  <c r="AC33" i="34" s="1"/>
  <c r="H23" i="39"/>
  <c r="U23" i="39" s="1"/>
  <c r="D48" i="9"/>
  <c r="M52" i="9" s="1"/>
  <c r="K9" i="1"/>
  <c r="M9" i="1" s="1"/>
  <c r="D93" i="9"/>
  <c r="K6" i="1"/>
  <c r="AP6" i="1" s="1"/>
  <c r="G29" i="6"/>
  <c r="AC26" i="33"/>
  <c r="W26" i="33"/>
  <c r="W27" i="34"/>
  <c r="AC27" i="34"/>
  <c r="AB34" i="36"/>
  <c r="U34" i="36"/>
  <c r="AB33" i="36"/>
  <c r="U33" i="36"/>
  <c r="AC12" i="39"/>
  <c r="W12" i="39"/>
  <c r="W12" i="33"/>
  <c r="AC12" i="33"/>
  <c r="AA32" i="36"/>
  <c r="S32" i="36"/>
  <c r="BL14" i="3"/>
  <c r="U30" i="33"/>
  <c r="AC13" i="34"/>
  <c r="AA47" i="34"/>
  <c r="W28" i="37"/>
  <c r="S19" i="39"/>
  <c r="F12" i="33"/>
  <c r="H12" i="39"/>
  <c r="AB12" i="39" s="1"/>
  <c r="F39" i="40"/>
  <c r="S39" i="40" s="1"/>
  <c r="BA14" i="3"/>
  <c r="AZ14" i="3" s="1"/>
  <c r="AZ367" i="3"/>
  <c r="AZ157" i="3"/>
  <c r="B12" i="1"/>
  <c r="E12" i="1" s="1"/>
  <c r="B10" i="1"/>
  <c r="E10" i="1" s="1"/>
  <c r="K12" i="1"/>
  <c r="M12" i="1" s="1"/>
  <c r="S13" i="1"/>
  <c r="AR13" i="1" s="1"/>
  <c r="R13" i="1"/>
  <c r="J51" i="67"/>
  <c r="C42" i="1"/>
  <c r="C24" i="12" s="1"/>
  <c r="AA34" i="33"/>
  <c r="B41" i="1"/>
  <c r="F48" i="9" s="1"/>
  <c r="O52" i="9" s="1"/>
  <c r="AB37" i="40"/>
  <c r="S35" i="40"/>
  <c r="U35" i="40"/>
  <c r="AC36" i="40"/>
  <c r="W38" i="40"/>
  <c r="AA32" i="40"/>
  <c r="S17" i="40"/>
  <c r="S23" i="40"/>
  <c r="AC17" i="40"/>
  <c r="AC15" i="40"/>
  <c r="AA19" i="40"/>
  <c r="S28" i="40"/>
  <c r="U21" i="40"/>
  <c r="AB19" i="40"/>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AA12" i="39"/>
  <c r="S9" i="39"/>
  <c r="U14" i="39"/>
  <c r="AC13" i="39"/>
  <c r="U13" i="36"/>
  <c r="U26" i="36"/>
  <c r="S33" i="36"/>
  <c r="AA26" i="36"/>
  <c r="AA34" i="36"/>
  <c r="AC26" i="36"/>
  <c r="AA22" i="36"/>
  <c r="W14" i="36"/>
  <c r="AB14" i="36"/>
  <c r="U22" i="36"/>
  <c r="S16" i="36"/>
  <c r="AA25" i="36"/>
  <c r="S24"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AB27" i="33" s="1"/>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36" i="21"/>
  <c r="W41" i="21"/>
  <c r="AB39" i="21"/>
  <c r="S39" i="21"/>
  <c r="AA38" i="21"/>
  <c r="AA36" i="21"/>
  <c r="AC40" i="21"/>
  <c r="J15" i="21"/>
  <c r="AC15" i="21" s="1"/>
  <c r="F77" i="21"/>
  <c r="G77" i="21" s="1"/>
  <c r="F23" i="21"/>
  <c r="AA23" i="21" s="1"/>
  <c r="E85" i="21"/>
  <c r="AA14" i="21"/>
  <c r="D120" i="9"/>
  <c r="D121" i="9" s="1"/>
  <c r="D7" i="52"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S36" i="40"/>
  <c r="W37" i="40"/>
  <c r="AC14" i="40"/>
  <c r="S13" i="40"/>
  <c r="S33" i="40"/>
  <c r="AA15" i="40"/>
  <c r="U11" i="40"/>
  <c r="S31" i="40"/>
  <c r="AB13" i="40"/>
  <c r="U15" i="40"/>
  <c r="AB17" i="40"/>
  <c r="U8" i="40"/>
  <c r="S8" i="40"/>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B33" i="34"/>
  <c r="AC45" i="34"/>
  <c r="AA31" i="34"/>
  <c r="AA30" i="34"/>
  <c r="AB45" i="34"/>
  <c r="AB47" i="34"/>
  <c r="U25" i="34"/>
  <c r="AB36"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W39" i="21"/>
  <c r="AC14" i="21"/>
  <c r="W30" i="21"/>
  <c r="S46" i="21"/>
  <c r="H45" i="21"/>
  <c r="U45" i="21" s="1"/>
  <c r="F29" i="21"/>
  <c r="AA29" i="21" s="1"/>
  <c r="F13" i="21"/>
  <c r="AA13" i="21" s="1"/>
  <c r="H32" i="21"/>
  <c r="AB32" i="21" s="1"/>
  <c r="H9" i="21"/>
  <c r="U9" i="21" s="1"/>
  <c r="J9" i="21"/>
  <c r="J32" i="21"/>
  <c r="W32" i="21" s="1"/>
  <c r="F32" i="21"/>
  <c r="AA32" i="21" s="1"/>
  <c r="AA31" i="21"/>
  <c r="U17" i="21"/>
  <c r="W29" i="21"/>
  <c r="S19" i="21"/>
  <c r="S9" i="21"/>
  <c r="AA9" i="21"/>
  <c r="K141" i="21"/>
  <c r="K144" i="21"/>
  <c r="K143" i="21"/>
  <c r="AB25" i="21"/>
  <c r="AB44" i="21"/>
  <c r="AA30" i="21"/>
  <c r="W13" i="21"/>
  <c r="AC45" i="21"/>
  <c r="F10" i="21"/>
  <c r="AA10" i="21" s="1"/>
  <c r="K145" i="21"/>
  <c r="W25" i="21"/>
  <c r="W31" i="21"/>
  <c r="S17" i="21"/>
  <c r="AA15" i="21"/>
  <c r="AC27" i="21"/>
  <c r="AB29" i="21"/>
  <c r="S28"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S21" i="39"/>
  <c r="AC17" i="37"/>
  <c r="S17" i="37"/>
  <c r="J19" i="37"/>
  <c r="W19" i="37" s="1"/>
  <c r="G75" i="37"/>
  <c r="AA19"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H19" i="33"/>
  <c r="AB19" i="33" s="1"/>
  <c r="G81" i="33"/>
  <c r="H17" i="33"/>
  <c r="U17" i="33" s="1"/>
  <c r="F17" i="33"/>
  <c r="S17" i="33" s="1"/>
  <c r="W17" i="33"/>
  <c r="J23" i="21"/>
  <c r="AC23" i="21" s="1"/>
  <c r="F85" i="21"/>
  <c r="G85" i="21" s="1"/>
  <c r="H23" i="21"/>
  <c r="U23" i="21" s="1"/>
  <c r="S13" i="21"/>
  <c r="AP7" i="1"/>
  <c r="AB45" i="21"/>
  <c r="AB9" i="21"/>
  <c r="W9" i="21"/>
  <c r="AC9" i="21"/>
  <c r="A18" i="62"/>
  <c r="B64" i="72" s="1"/>
  <c r="U32" i="39"/>
  <c r="AC32" i="39"/>
  <c r="J11" i="37"/>
  <c r="AC11" i="37" s="1"/>
  <c r="J11" i="34"/>
  <c r="W11" i="34" s="1"/>
  <c r="W25" i="33"/>
  <c r="AA17" i="33"/>
  <c r="H109" i="9"/>
  <c r="M49" i="9" s="1"/>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11" i="76"/>
  <c r="D6" i="73"/>
  <c r="F8" i="15"/>
  <c r="AO13" i="1"/>
  <c r="F9" i="67"/>
  <c r="J15" i="67"/>
  <c r="B11" i="76"/>
  <c r="E9" i="76"/>
  <c r="E8" i="76"/>
  <c r="E2" i="68"/>
  <c r="E13" i="76"/>
  <c r="F13" i="15"/>
  <c r="M6" i="67"/>
  <c r="C76" i="67"/>
  <c r="M8" i="67"/>
  <c r="M6" i="15"/>
  <c r="D35" i="9"/>
  <c r="B7" i="76"/>
  <c r="B8" i="76"/>
  <c r="F43" i="15"/>
  <c r="L47" i="15"/>
  <c r="F7" i="67"/>
  <c r="M29" i="67"/>
  <c r="F40" i="67"/>
  <c r="M26" i="15"/>
  <c r="F20" i="31"/>
  <c r="F5" i="73"/>
  <c r="F36" i="15"/>
  <c r="E12" i="76"/>
  <c r="J15" i="15"/>
  <c r="F6" i="67"/>
  <c r="E7" i="76"/>
  <c r="M24" i="15"/>
  <c r="M26" i="67"/>
  <c r="B10" i="76"/>
  <c r="F7" i="15"/>
  <c r="F13" i="67"/>
  <c r="E10" i="76"/>
  <c r="F7" i="73"/>
  <c r="M23" i="67"/>
  <c r="F4" i="73"/>
  <c r="F42" i="67"/>
  <c r="D34" i="9"/>
  <c r="B9" i="76"/>
  <c r="F36" i="67"/>
  <c r="F3" i="73"/>
  <c r="F6" i="73"/>
  <c r="F38" i="15"/>
  <c r="B13" i="76"/>
  <c r="F16" i="67"/>
  <c r="F43" i="67"/>
  <c r="E2" i="69"/>
  <c r="B12" i="76"/>
  <c r="F26" i="67"/>
  <c r="L48" i="15"/>
  <c r="C40" i="69" l="1"/>
  <c r="AB23" i="21"/>
  <c r="W23" i="21"/>
  <c r="W21" i="21"/>
  <c r="AC19" i="21"/>
  <c r="AB15" i="21"/>
  <c r="S27" i="21"/>
  <c r="U27" i="21"/>
  <c r="U43" i="21"/>
  <c r="AA43" i="21"/>
  <c r="W43" i="21"/>
  <c r="AC34" i="21"/>
  <c r="W42" i="21"/>
  <c r="S42" i="21"/>
  <c r="D52" i="43"/>
  <c r="D51" i="43"/>
  <c r="D56" i="43"/>
  <c r="AC26" i="21"/>
  <c r="S37" i="21"/>
  <c r="AB42" i="21"/>
  <c r="U38" i="21"/>
  <c r="AC38" i="21"/>
  <c r="AB36" i="21"/>
  <c r="U32" i="21"/>
  <c r="S32" i="21"/>
  <c r="M18" i="67"/>
  <c r="F30" i="69"/>
  <c r="F48" i="69" s="1"/>
  <c r="F30" i="11"/>
  <c r="C48" i="11" s="1"/>
  <c r="F54" i="9"/>
  <c r="M18" i="15"/>
  <c r="F31" i="12"/>
  <c r="D68" i="9"/>
  <c r="F28" i="15"/>
  <c r="C28" i="15" s="1"/>
  <c r="F32" i="67"/>
  <c r="F60" i="67" s="1"/>
  <c r="F28" i="67"/>
  <c r="F32" i="15"/>
  <c r="F60" i="15" s="1"/>
  <c r="F52" i="9"/>
  <c r="F30" i="68"/>
  <c r="F48" i="68" s="1"/>
  <c r="AZ127" i="3"/>
  <c r="AZ124" i="3"/>
  <c r="U19" i="33"/>
  <c r="AC27" i="33"/>
  <c r="AC23" i="37"/>
  <c r="D6" i="52"/>
  <c r="S36" i="33"/>
  <c r="AA23" i="37"/>
  <c r="W33" i="34"/>
  <c r="AA40" i="34"/>
  <c r="W27" i="40"/>
  <c r="S23" i="21"/>
  <c r="W15" i="21"/>
  <c r="U32" i="37"/>
  <c r="S30" i="40"/>
  <c r="AZ372" i="3"/>
  <c r="AZ347" i="3"/>
  <c r="AZ337" i="3"/>
  <c r="AZ123" i="3"/>
  <c r="AZ376" i="3"/>
  <c r="U14" i="40"/>
  <c r="AB14" i="40"/>
  <c r="AB46" i="33"/>
  <c r="U46" i="33"/>
  <c r="AA45" i="33"/>
  <c r="S45" i="33"/>
  <c r="AC40" i="37"/>
  <c r="W40" i="37"/>
  <c r="U26" i="33"/>
  <c r="AB26" i="33"/>
  <c r="W17" i="21"/>
  <c r="U12" i="39"/>
  <c r="AA27" i="40"/>
  <c r="AB27" i="40"/>
  <c r="AZ374" i="3"/>
  <c r="AZ338" i="3"/>
  <c r="AB36" i="33"/>
  <c r="AA19" i="33"/>
  <c r="AC20" i="36"/>
  <c r="AA39" i="39"/>
  <c r="S15" i="39"/>
  <c r="U37" i="39"/>
  <c r="AC34" i="33"/>
  <c r="AC11" i="39"/>
  <c r="F29" i="6"/>
  <c r="AZ391" i="3"/>
  <c r="AZ318" i="3"/>
  <c r="AZ364" i="3"/>
  <c r="AZ329" i="3"/>
  <c r="AZ304" i="3"/>
  <c r="W12" i="37"/>
  <c r="AC12" i="37"/>
  <c r="AA44" i="33"/>
  <c r="AA11" i="36"/>
  <c r="S11" i="36"/>
  <c r="AA26" i="33"/>
  <c r="S26" i="33"/>
  <c r="AZ532" i="3"/>
  <c r="W28" i="21"/>
  <c r="AC28" i="21"/>
  <c r="AB32" i="33"/>
  <c r="U32" i="33"/>
  <c r="AZ505" i="3"/>
  <c r="AZ525" i="3"/>
  <c r="AZ529" i="3"/>
  <c r="AZ537" i="3"/>
  <c r="AZ526" i="3"/>
  <c r="AZ564" i="3"/>
  <c r="AZ580" i="3"/>
  <c r="AZ585" i="3"/>
  <c r="AC22" i="35"/>
  <c r="W22" i="35"/>
  <c r="H23" i="36"/>
  <c r="J23" i="36"/>
  <c r="AC8" i="40"/>
  <c r="W8" i="40"/>
  <c r="J39" i="40"/>
  <c r="H39" i="40"/>
  <c r="AZ306" i="3"/>
  <c r="AZ535" i="3"/>
  <c r="AZ577" i="3"/>
  <c r="AZ557" i="3"/>
  <c r="AZ513" i="3"/>
  <c r="AZ575" i="3"/>
  <c r="AZ528" i="3"/>
  <c r="AZ548" i="3"/>
  <c r="AZ566" i="3"/>
  <c r="AZ574" i="3"/>
  <c r="AZ582" i="3"/>
  <c r="AZ540" i="3"/>
  <c r="AZ502" i="3"/>
  <c r="W31" i="34"/>
  <c r="BL587" i="3"/>
  <c r="AZ587" i="3" s="1"/>
  <c r="BL586" i="3"/>
  <c r="AZ586" i="3" s="1"/>
  <c r="F28" i="34"/>
  <c r="J28" i="34"/>
  <c r="H12" i="35"/>
  <c r="J23" i="35"/>
  <c r="H23" i="35"/>
  <c r="AA40" i="39"/>
  <c r="S40" i="39"/>
  <c r="W31" i="35"/>
  <c r="AC31" i="35"/>
  <c r="AB33" i="33"/>
  <c r="U33" i="33"/>
  <c r="J9" i="33"/>
  <c r="H9" i="33"/>
  <c r="H45" i="39"/>
  <c r="J45" i="39"/>
  <c r="W45" i="39" s="1"/>
  <c r="BA551" i="3"/>
  <c r="AZ551" i="3" s="1"/>
  <c r="BA550" i="3"/>
  <c r="AZ550" i="3" s="1"/>
  <c r="BL548" i="3"/>
  <c r="AZ515" i="3"/>
  <c r="AZ569" i="3"/>
  <c r="AZ571" i="3"/>
  <c r="AZ579" i="3"/>
  <c r="AZ516" i="3"/>
  <c r="AZ524" i="3"/>
  <c r="AC11" i="35"/>
  <c r="B101" i="43"/>
  <c r="B79" i="43"/>
  <c r="F9" i="33"/>
  <c r="AA9" i="33" s="1"/>
  <c r="AA35" i="34"/>
  <c r="S35" i="34"/>
  <c r="AB31" i="35"/>
  <c r="J9" i="36"/>
  <c r="F23" i="36"/>
  <c r="F38" i="40"/>
  <c r="H38" i="40"/>
  <c r="G556" i="3"/>
  <c r="AZ413" i="3"/>
  <c r="AZ405" i="3"/>
  <c r="AZ407" i="3"/>
  <c r="AZ419" i="3"/>
  <c r="AZ422" i="3"/>
  <c r="AZ448" i="3"/>
  <c r="AZ458" i="3"/>
  <c r="AZ462" i="3"/>
  <c r="G399" i="3"/>
  <c r="BL400" i="3"/>
  <c r="AZ400" i="3" s="1"/>
  <c r="BL408" i="3"/>
  <c r="BL411" i="3"/>
  <c r="BL413" i="3"/>
  <c r="G416" i="3"/>
  <c r="BL417" i="3"/>
  <c r="BL418" i="3"/>
  <c r="BL420" i="3"/>
  <c r="G423" i="3"/>
  <c r="BL424" i="3"/>
  <c r="G427" i="3"/>
  <c r="BL428" i="3"/>
  <c r="BL429" i="3"/>
  <c r="BL432" i="3"/>
  <c r="BL435" i="3"/>
  <c r="BL436" i="3"/>
  <c r="BA439" i="3"/>
  <c r="BA440" i="3"/>
  <c r="AZ440" i="3" s="1"/>
  <c r="BA442" i="3"/>
  <c r="BA445" i="3"/>
  <c r="BA447" i="3"/>
  <c r="AZ447" i="3" s="1"/>
  <c r="BA449" i="3"/>
  <c r="BL453" i="3"/>
  <c r="BL454" i="3"/>
  <c r="BL471" i="3"/>
  <c r="AZ487" i="3"/>
  <c r="U35" i="33"/>
  <c r="BL585" i="3"/>
  <c r="B75" i="43"/>
  <c r="H24" i="36"/>
  <c r="G558" i="3"/>
  <c r="BL398" i="3"/>
  <c r="G402" i="3"/>
  <c r="BL403" i="3"/>
  <c r="AZ403" i="3" s="1"/>
  <c r="G406" i="3"/>
  <c r="BA408" i="3"/>
  <c r="BA409" i="3"/>
  <c r="AZ409" i="3" s="1"/>
  <c r="BA411" i="3"/>
  <c r="AZ411" i="3" s="1"/>
  <c r="BL414" i="3"/>
  <c r="BL415" i="3"/>
  <c r="BA417" i="3"/>
  <c r="AZ417" i="3" s="1"/>
  <c r="BL421" i="3"/>
  <c r="BL422" i="3"/>
  <c r="BL425" i="3"/>
  <c r="BL426" i="3"/>
  <c r="BA428" i="3"/>
  <c r="AZ428" i="3" s="1"/>
  <c r="BA429" i="3"/>
  <c r="BA430" i="3"/>
  <c r="AZ430" i="3" s="1"/>
  <c r="BA432" i="3"/>
  <c r="AZ432" i="3" s="1"/>
  <c r="BA434" i="3"/>
  <c r="BA436" i="3"/>
  <c r="BA438" i="3"/>
  <c r="G442" i="3"/>
  <c r="G443" i="3"/>
  <c r="BA446" i="3"/>
  <c r="BA450" i="3"/>
  <c r="BA453" i="3"/>
  <c r="BA455" i="3"/>
  <c r="AZ455" i="3" s="1"/>
  <c r="BA463" i="3"/>
  <c r="BA465" i="3"/>
  <c r="AZ465" i="3" s="1"/>
  <c r="BA469" i="3"/>
  <c r="AZ469" i="3" s="1"/>
  <c r="BA478" i="3"/>
  <c r="BA488" i="3"/>
  <c r="AZ488" i="3" s="1"/>
  <c r="BL550" i="3"/>
  <c r="BL15" i="3"/>
  <c r="AZ15" i="3" s="1"/>
  <c r="BA398" i="3"/>
  <c r="BA399" i="3"/>
  <c r="AZ399" i="3" s="1"/>
  <c r="BL401" i="3"/>
  <c r="AZ401" i="3" s="1"/>
  <c r="BL404" i="3"/>
  <c r="AZ404" i="3" s="1"/>
  <c r="BL405" i="3"/>
  <c r="BL407" i="3"/>
  <c r="BA412" i="3"/>
  <c r="AZ412" i="3" s="1"/>
  <c r="BA414" i="3"/>
  <c r="AZ414" i="3" s="1"/>
  <c r="BA415" i="3"/>
  <c r="BA416" i="3"/>
  <c r="AZ416" i="3" s="1"/>
  <c r="BA418" i="3"/>
  <c r="BA421" i="3"/>
  <c r="AZ421" i="3" s="1"/>
  <c r="BA423" i="3"/>
  <c r="AZ423" i="3" s="1"/>
  <c r="BA425" i="3"/>
  <c r="AZ425" i="3" s="1"/>
  <c r="BA426" i="3"/>
  <c r="BA427" i="3"/>
  <c r="AZ427" i="3" s="1"/>
  <c r="BA433" i="3"/>
  <c r="AZ433" i="3" s="1"/>
  <c r="BA435" i="3"/>
  <c r="BL437" i="3"/>
  <c r="AZ437" i="3" s="1"/>
  <c r="G439" i="3"/>
  <c r="BL441" i="3"/>
  <c r="AZ441" i="3" s="1"/>
  <c r="BL442" i="3"/>
  <c r="BL444" i="3"/>
  <c r="AZ444" i="3" s="1"/>
  <c r="G446" i="3"/>
  <c r="BL448" i="3"/>
  <c r="G450" i="3"/>
  <c r="BA454" i="3"/>
  <c r="AZ454" i="3" s="1"/>
  <c r="G456" i="3"/>
  <c r="BL456" i="3"/>
  <c r="G467" i="3"/>
  <c r="BL467" i="3"/>
  <c r="BL468" i="3"/>
  <c r="AZ468" i="3" s="1"/>
  <c r="BL472" i="3"/>
  <c r="G473" i="3"/>
  <c r="BL473" i="3"/>
  <c r="AZ473" i="3" s="1"/>
  <c r="BL474" i="3"/>
  <c r="G475" i="3"/>
  <c r="BA477" i="3"/>
  <c r="G481" i="3"/>
  <c r="BA482" i="3"/>
  <c r="BA484" i="3"/>
  <c r="AZ484" i="3" s="1"/>
  <c r="G490" i="3"/>
  <c r="BA491" i="3"/>
  <c r="AZ491" i="3" s="1"/>
  <c r="AZ217" i="3"/>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AZ226" i="3" s="1"/>
  <c r="BA239" i="3"/>
  <c r="BL239" i="3"/>
  <c r="BA241" i="3"/>
  <c r="BL241" i="3"/>
  <c r="BA244" i="3"/>
  <c r="BL244" i="3"/>
  <c r="BA246" i="3"/>
  <c r="BA252" i="3"/>
  <c r="AZ252" i="3" s="1"/>
  <c r="BA254" i="3"/>
  <c r="AZ254" i="3" s="1"/>
  <c r="BA256" i="3"/>
  <c r="BL256" i="3"/>
  <c r="BA258" i="3"/>
  <c r="BL264" i="3"/>
  <c r="BL266" i="3"/>
  <c r="BA268" i="3"/>
  <c r="BL273" i="3"/>
  <c r="BA277" i="3"/>
  <c r="BL277" i="3"/>
  <c r="BA282" i="3"/>
  <c r="BL282" i="3"/>
  <c r="BA284" i="3"/>
  <c r="BL290" i="3"/>
  <c r="BL291" i="3"/>
  <c r="AZ291" i="3" s="1"/>
  <c r="BL293" i="3"/>
  <c r="BL294" i="3"/>
  <c r="BA297" i="3"/>
  <c r="BL297" i="3"/>
  <c r="BL300" i="3"/>
  <c r="BA302" i="3"/>
  <c r="BA117" i="3"/>
  <c r="BA134" i="3"/>
  <c r="BL139" i="3"/>
  <c r="AZ139" i="3" s="1"/>
  <c r="G140" i="3"/>
  <c r="BL141" i="3"/>
  <c r="BL143" i="3"/>
  <c r="AZ143" i="3" s="1"/>
  <c r="D56" i="71"/>
  <c r="T56" i="71"/>
  <c r="BL457" i="3"/>
  <c r="BL460" i="3"/>
  <c r="BL461" i="3"/>
  <c r="BL463" i="3"/>
  <c r="BA471" i="3"/>
  <c r="BL317" i="3"/>
  <c r="BA349" i="3"/>
  <c r="AZ349" i="3" s="1"/>
  <c r="BA353" i="3"/>
  <c r="BL353" i="3"/>
  <c r="BA358" i="3"/>
  <c r="AZ358" i="3" s="1"/>
  <c r="BL365" i="3"/>
  <c r="AZ365" i="3" s="1"/>
  <c r="BA368" i="3"/>
  <c r="BL368" i="3"/>
  <c r="BA374" i="3"/>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BL274" i="3"/>
  <c r="BA276" i="3"/>
  <c r="BA279" i="3"/>
  <c r="BA281" i="3"/>
  <c r="BL286" i="3"/>
  <c r="AZ286" i="3" s="1"/>
  <c r="G291" i="3"/>
  <c r="BA296" i="3"/>
  <c r="BA116" i="3"/>
  <c r="AZ116" i="3" s="1"/>
  <c r="BA121" i="3"/>
  <c r="AZ121" i="3" s="1"/>
  <c r="BL121" i="3"/>
  <c r="BA124" i="3"/>
  <c r="BA126" i="3"/>
  <c r="AZ126" i="3" s="1"/>
  <c r="BA146" i="3"/>
  <c r="AZ146" i="3" s="1"/>
  <c r="BA457" i="3"/>
  <c r="AZ457" i="3" s="1"/>
  <c r="BA459" i="3"/>
  <c r="AZ459" i="3" s="1"/>
  <c r="BA460" i="3"/>
  <c r="BA461" i="3"/>
  <c r="BL464" i="3"/>
  <c r="AZ464" i="3" s="1"/>
  <c r="BL466" i="3"/>
  <c r="AZ466" i="3" s="1"/>
  <c r="G468" i="3"/>
  <c r="G469" i="3"/>
  <c r="BL476" i="3"/>
  <c r="AZ476" i="3" s="1"/>
  <c r="BL477" i="3"/>
  <c r="BL478" i="3"/>
  <c r="G479" i="3"/>
  <c r="G480" i="3"/>
  <c r="BL480" i="3"/>
  <c r="AZ480" i="3" s="1"/>
  <c r="G482" i="3"/>
  <c r="BA483" i="3"/>
  <c r="BL483" i="3"/>
  <c r="AZ483" i="3" s="1"/>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AZ255" i="3" s="1"/>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AZ294" i="3" s="1"/>
  <c r="BL295" i="3"/>
  <c r="BA298" i="3"/>
  <c r="AZ298" i="3" s="1"/>
  <c r="BL301" i="3"/>
  <c r="AZ301" i="3" s="1"/>
  <c r="BL302" i="3"/>
  <c r="BA114" i="3"/>
  <c r="BL123" i="3"/>
  <c r="BL127" i="3"/>
  <c r="G128" i="3"/>
  <c r="BA129" i="3"/>
  <c r="BL133" i="3"/>
  <c r="AZ133" i="3" s="1"/>
  <c r="BL134" i="3"/>
  <c r="G150" i="3"/>
  <c r="BA130" i="3"/>
  <c r="AZ130" i="3" s="1"/>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AZ182" i="3" s="1"/>
  <c r="BL185" i="3"/>
  <c r="AZ185" i="3" s="1"/>
  <c r="G186" i="3"/>
  <c r="G187" i="3"/>
  <c r="BL193" i="3"/>
  <c r="G194" i="3"/>
  <c r="BL194" i="3"/>
  <c r="AZ194" i="3" s="1"/>
  <c r="BA198" i="3"/>
  <c r="AZ198" i="3" s="1"/>
  <c r="G199" i="3"/>
  <c r="G204" i="3"/>
  <c r="G205" i="3"/>
  <c r="BL206" i="3"/>
  <c r="BA19" i="3"/>
  <c r="AZ19" i="3" s="1"/>
  <c r="G22" i="3"/>
  <c r="G24" i="3"/>
  <c r="G25" i="3"/>
  <c r="G27" i="3"/>
  <c r="BA27" i="3"/>
  <c r="G30" i="3"/>
  <c r="BL30" i="3"/>
  <c r="BL31" i="3"/>
  <c r="G35" i="3"/>
  <c r="G36" i="3"/>
  <c r="G37" i="3"/>
  <c r="G40" i="3"/>
  <c r="BL40" i="3"/>
  <c r="BL41" i="3"/>
  <c r="G45" i="3"/>
  <c r="BL45" i="3"/>
  <c r="BA48" i="3"/>
  <c r="BA49" i="3"/>
  <c r="AZ49" i="3" s="1"/>
  <c r="BA51" i="3"/>
  <c r="AZ51" i="3" s="1"/>
  <c r="G54" i="3"/>
  <c r="G55" i="3"/>
  <c r="BL56" i="3"/>
  <c r="BA58" i="3"/>
  <c r="AZ58" i="3" s="1"/>
  <c r="BL59" i="3"/>
  <c r="BL60" i="3"/>
  <c r="AZ60" i="3" s="1"/>
  <c r="BA61" i="3"/>
  <c r="BA68" i="3"/>
  <c r="BA73" i="3"/>
  <c r="BA79" i="3"/>
  <c r="AZ79" i="3" s="1"/>
  <c r="G82" i="3"/>
  <c r="G83" i="3"/>
  <c r="BA84" i="3"/>
  <c r="BL88" i="3"/>
  <c r="AZ88" i="3" s="1"/>
  <c r="G90" i="3"/>
  <c r="BL90" i="3"/>
  <c r="G98" i="3"/>
  <c r="G99" i="3"/>
  <c r="BA105" i="3"/>
  <c r="BA111" i="3"/>
  <c r="AA21" i="33"/>
  <c r="S21" i="33"/>
  <c r="AA21" i="37"/>
  <c r="S21" i="37"/>
  <c r="B88" i="43"/>
  <c r="AA21" i="34"/>
  <c r="D55" i="71"/>
  <c r="P65" i="71"/>
  <c r="P66" i="71"/>
  <c r="Y26" i="71"/>
  <c r="Z26" i="71" s="1"/>
  <c r="C28" i="71"/>
  <c r="Y28" i="71"/>
  <c r="Z28" i="71" s="1"/>
  <c r="Y25" i="71"/>
  <c r="Z25" i="71" s="1"/>
  <c r="Y35" i="71"/>
  <c r="Z35" i="71" s="1"/>
  <c r="Y37" i="71"/>
  <c r="Z37" i="71" s="1"/>
  <c r="X36" i="71"/>
  <c r="X35" i="71"/>
  <c r="X38" i="71"/>
  <c r="C47" i="71"/>
  <c r="D47" i="71" s="1"/>
  <c r="D46" i="71"/>
  <c r="AB26" i="71"/>
  <c r="BA45" i="3"/>
  <c r="AZ45" i="3" s="1"/>
  <c r="AZ100" i="3"/>
  <c r="D63" i="71"/>
  <c r="D67" i="71"/>
  <c r="C66" i="71"/>
  <c r="O67" i="71"/>
  <c r="Y27" i="71"/>
  <c r="Z27" i="71" s="1"/>
  <c r="AB32" i="71"/>
  <c r="AA34" i="71"/>
  <c r="AA30" i="71"/>
  <c r="AA37" i="71"/>
  <c r="C51" i="71"/>
  <c r="C60" i="71"/>
  <c r="D59" i="71"/>
  <c r="N67" i="71"/>
  <c r="B66" i="71"/>
  <c r="T80" i="71"/>
  <c r="C79" i="71"/>
  <c r="BL167" i="3"/>
  <c r="AZ167" i="3" s="1"/>
  <c r="BL178" i="3"/>
  <c r="BA180" i="3"/>
  <c r="AZ180" i="3" s="1"/>
  <c r="BL182" i="3"/>
  <c r="BA185" i="3"/>
  <c r="BL191" i="3"/>
  <c r="AZ191" i="3" s="1"/>
  <c r="BA193" i="3"/>
  <c r="BA196" i="3"/>
  <c r="AZ196" i="3" s="1"/>
  <c r="G203" i="3"/>
  <c r="BA205" i="3"/>
  <c r="AZ205" i="3" s="1"/>
  <c r="G20" i="3"/>
  <c r="BL20" i="3"/>
  <c r="BA21" i="3"/>
  <c r="AZ21" i="3" s="1"/>
  <c r="BA25" i="3"/>
  <c r="BA26" i="3"/>
  <c r="G28" i="3"/>
  <c r="BL28" i="3"/>
  <c r="BA29" i="3"/>
  <c r="AZ29" i="3" s="1"/>
  <c r="BA36" i="3"/>
  <c r="BL38" i="3"/>
  <c r="AZ38" i="3" s="1"/>
  <c r="BA39" i="3"/>
  <c r="AZ39" i="3" s="1"/>
  <c r="BL47" i="3"/>
  <c r="AZ47" i="3" s="1"/>
  <c r="G49" i="3"/>
  <c r="G50" i="3"/>
  <c r="G52" i="3"/>
  <c r="BA52" i="3"/>
  <c r="AZ52" i="3" s="1"/>
  <c r="BA53" i="3"/>
  <c r="AZ53" i="3" s="1"/>
  <c r="BA54" i="3"/>
  <c r="BL57" i="3"/>
  <c r="AZ57" i="3" s="1"/>
  <c r="G59" i="3"/>
  <c r="G62" i="3"/>
  <c r="BL62" i="3"/>
  <c r="AZ62" i="3" s="1"/>
  <c r="BL63" i="3"/>
  <c r="AZ63" i="3" s="1"/>
  <c r="G65" i="3"/>
  <c r="BL65" i="3"/>
  <c r="AZ65" i="3" s="1"/>
  <c r="BL66" i="3"/>
  <c r="AZ66" i="3" s="1"/>
  <c r="BL67" i="3"/>
  <c r="AZ67" i="3" s="1"/>
  <c r="G69" i="3"/>
  <c r="G70" i="3"/>
  <c r="BL70" i="3"/>
  <c r="AZ70" i="3" s="1"/>
  <c r="BL71" i="3"/>
  <c r="AZ71" i="3" s="1"/>
  <c r="BL72" i="3"/>
  <c r="AZ72" i="3" s="1"/>
  <c r="G74" i="3"/>
  <c r="G75" i="3"/>
  <c r="BL75" i="3"/>
  <c r="BL91" i="3"/>
  <c r="BL100" i="3"/>
  <c r="BL105" i="3"/>
  <c r="BL107" i="3"/>
  <c r="G112" i="3"/>
  <c r="BL112" i="3"/>
  <c r="F40" i="68"/>
  <c r="C21" i="68"/>
  <c r="AC29" i="39"/>
  <c r="W29" i="39"/>
  <c r="P27" i="6"/>
  <c r="F34" i="71"/>
  <c r="F35" i="71" s="1"/>
  <c r="F36" i="71" s="1"/>
  <c r="V36" i="71" s="1"/>
  <c r="AB33" i="71"/>
  <c r="T72" i="71"/>
  <c r="C71" i="71"/>
  <c r="U76" i="71"/>
  <c r="E75" i="71"/>
  <c r="E74" i="71" s="1"/>
  <c r="BL126" i="3"/>
  <c r="BA144" i="3"/>
  <c r="AZ144" i="3" s="1"/>
  <c r="BA153" i="3"/>
  <c r="BL155" i="3"/>
  <c r="AZ155"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AZ207" i="3" s="1"/>
  <c r="BL18" i="3"/>
  <c r="BL19" i="3"/>
  <c r="BA20" i="3"/>
  <c r="AZ20" i="3" s="1"/>
  <c r="BL25" i="3"/>
  <c r="BL27" i="3"/>
  <c r="BA28" i="3"/>
  <c r="BA31" i="3"/>
  <c r="AZ31" i="3" s="1"/>
  <c r="BA32" i="3"/>
  <c r="BA38" i="3"/>
  <c r="BA41" i="3"/>
  <c r="AZ41" i="3" s="1"/>
  <c r="BA42" i="3"/>
  <c r="BL48" i="3"/>
  <c r="AZ48" i="3" s="1"/>
  <c r="BL54" i="3"/>
  <c r="BL55" i="3"/>
  <c r="AZ55" i="3" s="1"/>
  <c r="BA59" i="3"/>
  <c r="AZ59" i="3" s="1"/>
  <c r="BL61" i="3"/>
  <c r="BA64" i="3"/>
  <c r="AZ64" i="3" s="1"/>
  <c r="BL68" i="3"/>
  <c r="BA69" i="3"/>
  <c r="AZ69" i="3" s="1"/>
  <c r="BL73" i="3"/>
  <c r="AZ73" i="3" s="1"/>
  <c r="BA74" i="3"/>
  <c r="AZ74" i="3" s="1"/>
  <c r="BA78" i="3"/>
  <c r="BA80" i="3"/>
  <c r="BL84" i="3"/>
  <c r="BA89" i="3"/>
  <c r="BL94" i="3"/>
  <c r="AZ94" i="3" s="1"/>
  <c r="BL99" i="3"/>
  <c r="BL110" i="3"/>
  <c r="C40" i="68"/>
  <c r="AB29" i="39"/>
  <c r="U29" i="39"/>
  <c r="AA25" i="40"/>
  <c r="S25" i="40"/>
  <c r="E28" i="71"/>
  <c r="AA27" i="71"/>
  <c r="AA28" i="71"/>
  <c r="D38" i="71"/>
  <c r="C39" i="71"/>
  <c r="C31" i="71"/>
  <c r="Y30" i="71"/>
  <c r="Z30" i="71" s="1"/>
  <c r="AA38" i="71"/>
  <c r="AA39" i="71"/>
  <c r="D84" i="71"/>
  <c r="C83" i="71"/>
  <c r="BA75" i="3"/>
  <c r="G81" i="3"/>
  <c r="G85" i="3"/>
  <c r="BL85" i="3"/>
  <c r="BA86" i="3"/>
  <c r="AZ86" i="3" s="1"/>
  <c r="BA87" i="3"/>
  <c r="BA91" i="3"/>
  <c r="G96" i="3"/>
  <c r="BL97" i="3"/>
  <c r="AZ97" i="3" s="1"/>
  <c r="BL101" i="3"/>
  <c r="AZ101" i="3" s="1"/>
  <c r="BL102" i="3"/>
  <c r="AZ102" i="3" s="1"/>
  <c r="G104" i="3"/>
  <c r="G105" i="3"/>
  <c r="BL106" i="3"/>
  <c r="BA108" i="3"/>
  <c r="AZ108" i="3" s="1"/>
  <c r="BA110" i="3"/>
  <c r="AZ110" i="3" s="1"/>
  <c r="F3" i="35"/>
  <c r="B77" i="43"/>
  <c r="AA18" i="35"/>
  <c r="AB27" i="71"/>
  <c r="E79" i="71"/>
  <c r="E78" i="71" s="1"/>
  <c r="AB25" i="71"/>
  <c r="C43" i="71"/>
  <c r="C35" i="71"/>
  <c r="N68" i="71"/>
  <c r="E38" i="71"/>
  <c r="E39" i="71" s="1"/>
  <c r="E40" i="71" s="1"/>
  <c r="U40" i="71" s="1"/>
  <c r="B34" i="71"/>
  <c r="B35" i="71" s="1"/>
  <c r="B36" i="71" s="1"/>
  <c r="S36" i="71" s="1"/>
  <c r="X33" i="71"/>
  <c r="AB37" i="71"/>
  <c r="BA103" i="3"/>
  <c r="AZ103" i="3" s="1"/>
  <c r="BA104" i="3"/>
  <c r="BA106" i="3"/>
  <c r="AZ106" i="3" s="1"/>
  <c r="BL108" i="3"/>
  <c r="G110" i="3"/>
  <c r="BL111" i="3"/>
  <c r="C5" i="68"/>
  <c r="S28" i="71"/>
  <c r="X28" i="71"/>
  <c r="X32" i="71"/>
  <c r="F40" i="71"/>
  <c r="V40" i="71" s="1"/>
  <c r="AB38" i="71"/>
  <c r="F75" i="71"/>
  <c r="F74" i="71" s="1"/>
  <c r="E23" i="71"/>
  <c r="E22" i="71" s="1"/>
  <c r="E21" i="71" s="1"/>
  <c r="E20" i="71"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70" i="3"/>
  <c r="W35" i="39"/>
  <c r="F27" i="34"/>
  <c r="C21" i="39"/>
  <c r="U9" i="36"/>
  <c r="U14" i="37"/>
  <c r="H12" i="21"/>
  <c r="G526" i="3"/>
  <c r="AZ420" i="3"/>
  <c r="AZ424" i="3"/>
  <c r="AZ434" i="3"/>
  <c r="AZ436" i="3"/>
  <c r="AZ438" i="3"/>
  <c r="AZ446" i="3"/>
  <c r="AZ450" i="3"/>
  <c r="G28" i="6"/>
  <c r="G30" i="6" s="1"/>
  <c r="G31" i="6" s="1"/>
  <c r="U26" i="21"/>
  <c r="W36" i="39"/>
  <c r="U23" i="40"/>
  <c r="AA39" i="37"/>
  <c r="AC16" i="36"/>
  <c r="AB12" i="33"/>
  <c r="C27" i="39"/>
  <c r="U40" i="40"/>
  <c r="AC9" i="40"/>
  <c r="W36" i="35"/>
  <c r="J12" i="21"/>
  <c r="B73" i="43"/>
  <c r="B76" i="43"/>
  <c r="F9" i="36"/>
  <c r="J40" i="40"/>
  <c r="G562" i="3"/>
  <c r="AZ426" i="3"/>
  <c r="AZ463" i="3"/>
  <c r="AZ489" i="3"/>
  <c r="AZ385" i="3"/>
  <c r="AZ212" i="3"/>
  <c r="AZ220" i="3"/>
  <c r="AZ231"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G487" i="3"/>
  <c r="BA492" i="3"/>
  <c r="AZ492" i="3" s="1"/>
  <c r="BL363" i="3"/>
  <c r="AZ363" i="3" s="1"/>
  <c r="G369" i="3"/>
  <c r="BL393" i="3"/>
  <c r="AZ393" i="3" s="1"/>
  <c r="BL396" i="3"/>
  <c r="AZ396" i="3" s="1"/>
  <c r="BL209" i="3"/>
  <c r="AZ209" i="3" s="1"/>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BL131" i="3"/>
  <c r="AZ131" i="3" s="1"/>
  <c r="G132" i="3"/>
  <c r="G139" i="3"/>
  <c r="G142" i="3"/>
  <c r="BL142" i="3"/>
  <c r="AZ142" i="3" s="1"/>
  <c r="BL153" i="3"/>
  <c r="AZ153" i="3" s="1"/>
  <c r="BA158" i="3"/>
  <c r="AZ158" i="3" s="1"/>
  <c r="BA161" i="3"/>
  <c r="AZ161" i="3" s="1"/>
  <c r="BA172" i="3"/>
  <c r="AZ172" i="3" s="1"/>
  <c r="AZ18" i="3"/>
  <c r="BL288" i="3"/>
  <c r="AZ288" i="3" s="1"/>
  <c r="BA292" i="3"/>
  <c r="AZ292" i="3" s="1"/>
  <c r="BA295" i="3"/>
  <c r="G298" i="3"/>
  <c r="BA299" i="3"/>
  <c r="AZ299" i="3" s="1"/>
  <c r="BA300" i="3"/>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93" i="3"/>
  <c r="AZ87" i="3"/>
  <c r="BL202" i="3"/>
  <c r="AZ202" i="3" s="1"/>
  <c r="AZ30" i="3"/>
  <c r="BL36" i="3"/>
  <c r="AZ36" i="3" s="1"/>
  <c r="AZ40" i="3"/>
  <c r="AZ68" i="3"/>
  <c r="AZ104"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AZ95" i="3" s="1"/>
  <c r="BL98" i="3"/>
  <c r="AZ98" i="3" s="1"/>
  <c r="BL109" i="3"/>
  <c r="AZ109" i="3" s="1"/>
  <c r="AB21" i="21"/>
  <c r="G77" i="3"/>
  <c r="BA81" i="3"/>
  <c r="AZ81" i="3" s="1"/>
  <c r="BA85" i="3"/>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E28" i="6"/>
  <c r="K14" i="1" s="1"/>
  <c r="L19" i="6"/>
  <c r="L27" i="6" s="1"/>
  <c r="M6" i="1"/>
  <c r="O6" i="1" s="1"/>
  <c r="T13" i="1"/>
  <c r="C58" i="21"/>
  <c r="D58" i="21" s="1"/>
  <c r="C58" i="33"/>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G26" i="43"/>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J53" i="15"/>
  <c r="L56" i="15" s="1"/>
  <c r="J57" i="15"/>
  <c r="J55" i="15" s="1"/>
  <c r="J58" i="15" s="1"/>
  <c r="Q50" i="15" s="1"/>
  <c r="I54" i="15"/>
  <c r="B20" i="31"/>
  <c r="B21" i="31" s="1"/>
  <c r="I1" i="73"/>
  <c r="B39" i="1" s="1"/>
  <c r="M7" i="15"/>
  <c r="F50" i="15"/>
  <c r="F51" i="15"/>
  <c r="F71" i="15"/>
  <c r="L59" i="15"/>
  <c r="N59" i="15"/>
  <c r="L58" i="15"/>
  <c r="M59" i="15"/>
  <c r="F66" i="15"/>
  <c r="Q71" i="67"/>
  <c r="F64" i="15"/>
  <c r="C27" i="67"/>
  <c r="F71" i="67"/>
  <c r="B13" i="70"/>
  <c r="M7" i="67"/>
  <c r="F50" i="67"/>
  <c r="F68" i="67"/>
  <c r="F64" i="67"/>
  <c r="C36" i="68"/>
  <c r="D9" i="69"/>
  <c r="C36" i="69"/>
  <c r="D9" i="68"/>
  <c r="F40" i="15"/>
  <c r="F26" i="15"/>
  <c r="C76" i="15"/>
  <c r="F9" i="15"/>
  <c r="M24" i="67"/>
  <c r="L47" i="67"/>
  <c r="D5" i="73"/>
  <c r="M28" i="67"/>
  <c r="M22" i="67"/>
  <c r="M8" i="15"/>
  <c r="D7" i="73"/>
  <c r="F37" i="67"/>
  <c r="F6" i="15"/>
  <c r="F16" i="15"/>
  <c r="M29" i="15"/>
  <c r="F42" i="15"/>
  <c r="M28" i="15"/>
  <c r="D3" i="73"/>
  <c r="M9" i="67"/>
  <c r="D4" i="73"/>
  <c r="F38" i="67"/>
  <c r="F37" i="15"/>
  <c r="F8" i="67"/>
  <c r="M9" i="15"/>
  <c r="C16" i="67"/>
  <c r="M23" i="15"/>
  <c r="L48" i="67"/>
  <c r="M22" i="15"/>
  <c r="P6" i="1" l="1"/>
  <c r="C13" i="12" s="1"/>
  <c r="K16" i="1"/>
  <c r="N94" i="46"/>
  <c r="J26" i="43"/>
  <c r="N370" i="46"/>
  <c r="F26" i="43"/>
  <c r="D26" i="43" s="1"/>
  <c r="C25" i="43" s="1"/>
  <c r="E26" i="43"/>
  <c r="F66" i="67"/>
  <c r="L58" i="67"/>
  <c r="Q60" i="67" s="1"/>
  <c r="M59" i="67"/>
  <c r="N59" i="67"/>
  <c r="L59" i="67"/>
  <c r="Q61" i="67" s="1"/>
  <c r="L56" i="67"/>
  <c r="I54" i="67"/>
  <c r="J53" i="67"/>
  <c r="F1" i="67" s="1"/>
  <c r="J57" i="67"/>
  <c r="J55" i="67" s="1"/>
  <c r="J58" i="67" s="1"/>
  <c r="Q50" i="67" s="1"/>
  <c r="C6" i="15"/>
  <c r="C32" i="15" s="1"/>
  <c r="F31" i="15"/>
  <c r="F65" i="67"/>
  <c r="Q71" i="15"/>
  <c r="C27" i="15"/>
  <c r="F31" i="67"/>
  <c r="F51" i="67"/>
  <c r="C49" i="67" s="1"/>
  <c r="C6" i="67"/>
  <c r="C32" i="67" s="1"/>
  <c r="F68" i="15"/>
  <c r="F65" i="15"/>
  <c r="AZ85" i="3"/>
  <c r="AZ75" i="3"/>
  <c r="AZ27" i="3"/>
  <c r="T60" i="71"/>
  <c r="D60" i="71"/>
  <c r="O65" i="71"/>
  <c r="O66" i="71"/>
  <c r="D66" i="71"/>
  <c r="D28" i="71"/>
  <c r="U28" i="71" s="1"/>
  <c r="T28" i="71"/>
  <c r="C27" i="71"/>
  <c r="AZ105" i="3"/>
  <c r="AZ61" i="3"/>
  <c r="AZ460" i="3"/>
  <c r="AZ271" i="3"/>
  <c r="AZ368" i="3"/>
  <c r="AZ353" i="3"/>
  <c r="AZ302" i="3"/>
  <c r="AZ284" i="3"/>
  <c r="AZ277" i="3"/>
  <c r="AZ244" i="3"/>
  <c r="AZ239" i="3"/>
  <c r="AZ397" i="3"/>
  <c r="AZ415" i="3"/>
  <c r="AZ398" i="3"/>
  <c r="AZ429" i="3"/>
  <c r="S38" i="40"/>
  <c r="AA38" i="40"/>
  <c r="U45" i="39"/>
  <c r="AB45" i="39"/>
  <c r="W28" i="34"/>
  <c r="AC28" i="34"/>
  <c r="J6" i="67"/>
  <c r="J18" i="67" s="1"/>
  <c r="C36" i="71"/>
  <c r="D35" i="71"/>
  <c r="C82" i="71"/>
  <c r="D82" i="71" s="1"/>
  <c r="D83" i="71"/>
  <c r="AZ25" i="3"/>
  <c r="N65" i="71"/>
  <c r="N66" i="71"/>
  <c r="C52" i="71"/>
  <c r="D51" i="71"/>
  <c r="AB24" i="36"/>
  <c r="U24" i="36"/>
  <c r="AA23" i="36"/>
  <c r="S23" i="36"/>
  <c r="AB9" i="33"/>
  <c r="U9" i="33"/>
  <c r="U23" i="35"/>
  <c r="AB23" i="35"/>
  <c r="AA28" i="34"/>
  <c r="S28" i="34"/>
  <c r="U39" i="40"/>
  <c r="AB39" i="40"/>
  <c r="AC23" i="36"/>
  <c r="W23" i="36"/>
  <c r="J6" i="15"/>
  <c r="J18" i="15" s="1"/>
  <c r="G5" i="3"/>
  <c r="B3" i="3" s="1"/>
  <c r="E510" i="3" s="1"/>
  <c r="AZ32" i="3"/>
  <c r="AZ295" i="3"/>
  <c r="C44" i="71"/>
  <c r="D43" i="71"/>
  <c r="AZ91" i="3"/>
  <c r="C32" i="71"/>
  <c r="D31" i="71"/>
  <c r="AZ84" i="3"/>
  <c r="AZ274" i="3"/>
  <c r="AZ282" i="3"/>
  <c r="AZ241" i="3"/>
  <c r="AZ210" i="3"/>
  <c r="AZ418" i="3"/>
  <c r="AZ453" i="3"/>
  <c r="AC9" i="36"/>
  <c r="W9" i="36"/>
  <c r="AC9" i="33"/>
  <c r="W9" i="33"/>
  <c r="AC23" i="35"/>
  <c r="W23" i="35"/>
  <c r="AC39" i="40"/>
  <c r="W39" i="40"/>
  <c r="AB23" i="36"/>
  <c r="U23" i="36"/>
  <c r="AZ300" i="3"/>
  <c r="AZ129" i="3"/>
  <c r="AZ486" i="3"/>
  <c r="D39" i="71"/>
  <c r="C40" i="71"/>
  <c r="AZ28" i="3"/>
  <c r="AZ178" i="3"/>
  <c r="D71" i="71"/>
  <c r="C70" i="71"/>
  <c r="D70" i="71" s="1"/>
  <c r="C78" i="71"/>
  <c r="D78" i="71" s="1"/>
  <c r="D79" i="71"/>
  <c r="AZ111" i="3"/>
  <c r="AZ273" i="3"/>
  <c r="AZ461" i="3"/>
  <c r="AZ471" i="3"/>
  <c r="AZ297" i="3"/>
  <c r="AZ256" i="3"/>
  <c r="AZ435" i="3"/>
  <c r="AZ408" i="3"/>
  <c r="AB38" i="40"/>
  <c r="U38" i="40"/>
  <c r="U12" i="35"/>
  <c r="AB12" i="35"/>
  <c r="G16" i="1"/>
  <c r="F10" i="39" s="1"/>
  <c r="AA10" i="39" s="1"/>
  <c r="J7" i="37"/>
  <c r="W7" i="37" s="1"/>
  <c r="K1" i="73"/>
  <c r="E539" i="3"/>
  <c r="E286" i="3"/>
  <c r="E502" i="3"/>
  <c r="E430" i="3"/>
  <c r="AP6" i="3"/>
  <c r="E491" i="3"/>
  <c r="E37" i="3"/>
  <c r="E258" i="3"/>
  <c r="E349" i="3"/>
  <c r="E59" i="3"/>
  <c r="E467" i="3"/>
  <c r="E160" i="3"/>
  <c r="E371" i="3"/>
  <c r="E84" i="3"/>
  <c r="E184" i="3"/>
  <c r="E68" i="3"/>
  <c r="E283" i="3"/>
  <c r="E494" i="3"/>
  <c r="E391" i="3"/>
  <c r="E482" i="3"/>
  <c r="E174" i="3"/>
  <c r="E86" i="3"/>
  <c r="AF6" i="3"/>
  <c r="E102" i="3"/>
  <c r="E308" i="3"/>
  <c r="E22" i="3"/>
  <c r="E197" i="3"/>
  <c r="E173" i="3"/>
  <c r="T6" i="3"/>
  <c r="E405" i="3"/>
  <c r="E512" i="3"/>
  <c r="E408" i="3"/>
  <c r="E556" i="3"/>
  <c r="E497" i="3"/>
  <c r="E470" i="3"/>
  <c r="E420" i="3"/>
  <c r="E41" i="3"/>
  <c r="E115" i="3"/>
  <c r="E356" i="3"/>
  <c r="E428" i="3"/>
  <c r="E190" i="3"/>
  <c r="E220" i="3"/>
  <c r="E35" i="3"/>
  <c r="E49" i="3"/>
  <c r="E80" i="3"/>
  <c r="E158" i="3"/>
  <c r="E329" i="3"/>
  <c r="E16" i="3"/>
  <c r="E116" i="3"/>
  <c r="E105" i="3"/>
  <c r="E564" i="3"/>
  <c r="E543" i="3"/>
  <c r="E507" i="3"/>
  <c r="E422" i="3"/>
  <c r="E376" i="3"/>
  <c r="AH6" i="3"/>
  <c r="E419" i="3"/>
  <c r="E401" i="3"/>
  <c r="E25" i="3"/>
  <c r="E108" i="3"/>
  <c r="E226" i="3"/>
  <c r="E276" i="3"/>
  <c r="E372" i="3"/>
  <c r="L6" i="3"/>
  <c r="E540" i="3"/>
  <c r="E473" i="3"/>
  <c r="E79" i="3"/>
  <c r="E38" i="3"/>
  <c r="E194" i="3"/>
  <c r="E234" i="3"/>
  <c r="E325" i="3"/>
  <c r="E392" i="3"/>
  <c r="E36" i="3"/>
  <c r="E112" i="3"/>
  <c r="E289" i="3"/>
  <c r="E340" i="3"/>
  <c r="E20" i="3"/>
  <c r="E62" i="3"/>
  <c r="E265" i="3"/>
  <c r="E365" i="3"/>
  <c r="E165" i="3"/>
  <c r="E141" i="3"/>
  <c r="E566" i="3"/>
  <c r="E460" i="3"/>
  <c r="E348" i="3"/>
  <c r="E58" i="3"/>
  <c r="E386" i="3"/>
  <c r="E24" i="3"/>
  <c r="E222" i="3"/>
  <c r="E244" i="3"/>
  <c r="E416" i="3"/>
  <c r="E500" i="3"/>
  <c r="E110" i="3"/>
  <c r="E446" i="3"/>
  <c r="E354" i="3"/>
  <c r="E48" i="3"/>
  <c r="E323" i="3"/>
  <c r="E149" i="3"/>
  <c r="E436" i="3"/>
  <c r="E297" i="3"/>
  <c r="E266" i="3"/>
  <c r="E584" i="3"/>
  <c r="E542" i="3"/>
  <c r="E374" i="3"/>
  <c r="E462" i="3"/>
  <c r="E163" i="3"/>
  <c r="E179" i="3"/>
  <c r="AD6" i="3"/>
  <c r="E195" i="3"/>
  <c r="E87" i="3"/>
  <c r="E413" i="3"/>
  <c r="E187" i="3"/>
  <c r="E307" i="3"/>
  <c r="E127" i="3"/>
  <c r="E461" i="3"/>
  <c r="E136" i="3"/>
  <c r="E157" i="3"/>
  <c r="E224" i="3"/>
  <c r="E529" i="3"/>
  <c r="E474" i="3"/>
  <c r="W6" i="3"/>
  <c r="E537" i="3"/>
  <c r="E54" i="3"/>
  <c r="E168" i="3"/>
  <c r="E257" i="3"/>
  <c r="E357" i="3"/>
  <c r="E14" i="3"/>
  <c r="E397" i="3"/>
  <c r="E196" i="3"/>
  <c r="E207" i="3"/>
  <c r="E379" i="3"/>
  <c r="U6" i="3"/>
  <c r="E411" i="3"/>
  <c r="E432" i="3"/>
  <c r="E367" i="3"/>
  <c r="E547" i="3"/>
  <c r="E546" i="3"/>
  <c r="E71" i="3"/>
  <c r="E92" i="3"/>
  <c r="E272" i="3"/>
  <c r="E291" i="3"/>
  <c r="E317" i="3"/>
  <c r="E29" i="3"/>
  <c r="E53" i="3"/>
  <c r="E319"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C7" i="43"/>
  <c r="C5" i="43" s="1"/>
  <c r="D10" i="52"/>
  <c r="D125" i="9"/>
  <c r="D11" i="52" s="1"/>
  <c r="B7" i="74"/>
  <c r="C7" i="74" s="1"/>
  <c r="F67" i="39"/>
  <c r="H7" i="37"/>
  <c r="AB7" i="37" s="1"/>
  <c r="T42" i="37" s="1"/>
  <c r="G42" i="37" s="1"/>
  <c r="H7" i="33"/>
  <c r="J7" i="33"/>
  <c r="D65" i="40"/>
  <c r="E63" i="40"/>
  <c r="F48" i="35"/>
  <c r="S7" i="36"/>
  <c r="AC7" i="37"/>
  <c r="U7" i="36"/>
  <c r="F7" i="33"/>
  <c r="E58" i="21"/>
  <c r="AC7" i="36"/>
  <c r="V36" i="36" s="1"/>
  <c r="I36" i="36" s="1"/>
  <c r="W7" i="36"/>
  <c r="F7" i="37"/>
  <c r="M17" i="67"/>
  <c r="M17" i="15"/>
  <c r="F59" i="15"/>
  <c r="P28" i="43"/>
  <c r="B66" i="40" s="1"/>
  <c r="P25" i="43"/>
  <c r="P29" i="43"/>
  <c r="P27" i="43"/>
  <c r="B70" i="39" s="1"/>
  <c r="C49" i="15"/>
  <c r="M11" i="67"/>
  <c r="J10" i="67" s="1"/>
  <c r="F11" i="15"/>
  <c r="M11" i="15"/>
  <c r="J10" i="15" s="1"/>
  <c r="F11" i="67"/>
  <c r="F1" i="15"/>
  <c r="Q52" i="15"/>
  <c r="Q60" i="15"/>
  <c r="Q73" i="15"/>
  <c r="Q74" i="15"/>
  <c r="Q61" i="15"/>
  <c r="AE11" i="1"/>
  <c r="AE9" i="1"/>
  <c r="F27" i="68"/>
  <c r="AE7" i="1"/>
  <c r="AE8" i="1"/>
  <c r="AE12" i="1"/>
  <c r="AE10" i="1"/>
  <c r="G1" i="73"/>
  <c r="AE6" i="1"/>
  <c r="F41" i="67" s="1"/>
  <c r="C16" i="15"/>
  <c r="F10" i="40" l="1"/>
  <c r="S10" i="40" s="1"/>
  <c r="S10" i="39"/>
  <c r="H10" i="40"/>
  <c r="AB10" i="40" s="1"/>
  <c r="H10" i="39"/>
  <c r="U10" i="39" s="1"/>
  <c r="J10" i="40"/>
  <c r="AC10" i="40" s="1"/>
  <c r="E3" i="6"/>
  <c r="F59" i="67"/>
  <c r="J10" i="39"/>
  <c r="W10" i="39" s="1"/>
  <c r="Q74" i="67"/>
  <c r="Q73" i="67"/>
  <c r="Q52" i="67"/>
  <c r="J5" i="67"/>
  <c r="J24" i="67" s="1"/>
  <c r="J5" i="15"/>
  <c r="J24" i="15"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32" i="71"/>
  <c r="D32" i="71"/>
  <c r="E34" i="3"/>
  <c r="E235" i="3"/>
  <c r="E18" i="3"/>
  <c r="AL6" i="3"/>
  <c r="AC6" i="3" s="1"/>
  <c r="E6" i="3" s="1"/>
  <c r="E198" i="3"/>
  <c r="E309" i="3"/>
  <c r="E63" i="3"/>
  <c r="E233" i="3"/>
  <c r="E67" i="3"/>
  <c r="E310" i="3"/>
  <c r="E267" i="3"/>
  <c r="E64" i="3"/>
  <c r="E409" i="3"/>
  <c r="E389" i="3"/>
  <c r="E241" i="3"/>
  <c r="E95" i="3"/>
  <c r="E417" i="3"/>
  <c r="E554" i="3"/>
  <c r="E449" i="3"/>
  <c r="E442" i="3"/>
  <c r="E575" i="3"/>
  <c r="E536" i="3"/>
  <c r="T40" i="71"/>
  <c r="D40" i="71"/>
  <c r="C26" i="71"/>
  <c r="D26" i="71" s="1"/>
  <c r="D27" i="71"/>
  <c r="D36" i="71"/>
  <c r="T36" i="71"/>
  <c r="R36" i="36"/>
  <c r="E475" i="3"/>
  <c r="E288" i="3"/>
  <c r="E532" i="3"/>
  <c r="E306" i="3"/>
  <c r="E122" i="3"/>
  <c r="E98" i="3"/>
  <c r="E167" i="3"/>
  <c r="E488" i="3"/>
  <c r="Y6" i="3"/>
  <c r="H6" i="3" s="1"/>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4" i="71"/>
  <c r="D44" i="71"/>
  <c r="T52" i="71"/>
  <c r="D52"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7" i="37"/>
  <c r="H47" i="37" s="1"/>
  <c r="I46" i="37"/>
  <c r="J46" i="37" s="1"/>
  <c r="G48" i="35"/>
  <c r="U7" i="33"/>
  <c r="AB7" i="33"/>
  <c r="T48" i="33" s="1"/>
  <c r="G48" i="33" s="1"/>
  <c r="C53" i="67"/>
  <c r="C48" i="67" s="1"/>
  <c r="C10" i="67"/>
  <c r="C5" i="67" s="1"/>
  <c r="C38" i="67" s="1"/>
  <c r="C53" i="15"/>
  <c r="C48" i="15" s="1"/>
  <c r="C66" i="15" s="1"/>
  <c r="C10" i="15"/>
  <c r="C5" i="15" s="1"/>
  <c r="C38" i="15" s="1"/>
  <c r="M27" i="15"/>
  <c r="F41" i="15"/>
  <c r="M27" i="67"/>
  <c r="AC10" i="39" l="1"/>
  <c r="F25" i="12"/>
  <c r="C26" i="12" s="1"/>
  <c r="D25" i="12" s="1"/>
  <c r="D116" i="43"/>
  <c r="F22" i="68"/>
  <c r="C23" i="68" s="1"/>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60" i="15"/>
  <c r="C66" i="67"/>
  <c r="C60" i="67"/>
  <c r="D10" i="69"/>
  <c r="C34" i="69"/>
  <c r="D10" i="68"/>
  <c r="C14" i="67"/>
  <c r="C17" i="15"/>
  <c r="C17" i="67"/>
  <c r="I54" i="34" l="1"/>
  <c r="J54" i="34" s="1"/>
  <c r="E54" i="34"/>
  <c r="F54" i="34" s="1"/>
  <c r="C26" i="11"/>
  <c r="D22" i="11" s="1"/>
  <c r="C44" i="68"/>
  <c r="D41" i="68" s="1"/>
  <c r="C26" i="68"/>
  <c r="D22" i="68" s="1"/>
  <c r="F41" i="68"/>
  <c r="C44" i="11"/>
  <c r="D41" i="11" s="1"/>
  <c r="C25" i="11"/>
  <c r="C24" i="11"/>
  <c r="C44" i="69"/>
  <c r="D41" i="69" s="1"/>
  <c r="C26" i="69"/>
  <c r="D22" i="69" s="1"/>
  <c r="C16" i="71"/>
  <c r="D17" i="7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B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15"/>
  <c r="F35" i="67"/>
  <c r="M21" i="15"/>
  <c r="E48" i="21" l="1"/>
  <c r="E53" i="21" s="1"/>
  <c r="F53" i="21"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G42" i="35"/>
  <c r="H42" i="35" s="1"/>
  <c r="K65" i="40"/>
  <c r="L63" i="40"/>
  <c r="E52" i="21" l="1"/>
  <c r="F52" i="21" s="1"/>
  <c r="I53" i="21"/>
  <c r="J53" i="21" s="1"/>
  <c r="I42" i="35"/>
  <c r="J42"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s="1"/>
  <c r="C39" i="35"/>
  <c r="C38" i="35"/>
  <c r="N63" i="40"/>
  <c r="M65" i="40"/>
  <c r="E43" i="35"/>
  <c r="F43" i="35" s="1"/>
  <c r="E42" i="35"/>
  <c r="F42" i="35" s="1"/>
  <c r="I43" i="35"/>
  <c r="J43" i="35" s="1"/>
  <c r="D2" i="33"/>
  <c r="L51" i="67"/>
  <c r="C19" i="9"/>
  <c r="C102" i="9" l="1"/>
  <c r="C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C20" i="9"/>
  <c r="L51" i="15"/>
  <c r="D19" i="9"/>
  <c r="D2" i="36"/>
  <c r="C103" i="9" l="1"/>
  <c r="D102" i="9"/>
  <c r="D22" i="9"/>
  <c r="G19" i="9"/>
  <c r="G21" i="9" s="1"/>
  <c r="D21" i="9"/>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7" i="1"/>
  <c r="AO8" i="1"/>
  <c r="AO6" i="1"/>
  <c r="AO11" i="1"/>
  <c r="AO9" i="1"/>
  <c r="AO10" i="1"/>
  <c r="D20" i="9"/>
  <c r="AO12" i="1"/>
  <c r="G20" i="9" l="1"/>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2" i="9" l="1"/>
  <c r="E14" i="74"/>
  <c r="D14" i="74" s="1"/>
  <c r="C35" i="9"/>
  <c r="C34"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6" i="71" l="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B32" i="72" l="1"/>
  <c r="D14" i="53"/>
  <c r="E81" i="9"/>
  <c r="E80" i="9"/>
  <c r="C80" i="9"/>
  <c r="C86" i="9"/>
  <c r="C93" i="9"/>
  <c r="D9" i="52"/>
  <c r="D123" i="9"/>
  <c r="B21" i="72"/>
  <c r="D7" i="53"/>
  <c r="B53" i="72"/>
  <c r="F5" i="52"/>
  <c r="F119" i="9"/>
  <c r="M54" i="9"/>
  <c r="D56" i="9"/>
  <c r="D58" i="9"/>
  <c r="C97" i="9"/>
  <c r="B47" i="72"/>
  <c r="D4" i="52"/>
  <c r="D54" i="9"/>
  <c r="C68" i="9"/>
  <c r="H5" i="52"/>
  <c r="H119" i="9"/>
  <c r="B48" i="72"/>
  <c r="E4" i="52"/>
  <c r="B22" i="72"/>
  <c r="D6" i="53"/>
  <c r="C6" i="74"/>
  <c r="D5" i="53"/>
  <c r="B20" i="72"/>
  <c r="C72" i="9"/>
  <c r="C79" i="9"/>
  <c r="C81" i="9"/>
  <c r="C85" i="9"/>
  <c r="C95" i="9"/>
  <c r="C96" i="9"/>
  <c r="E96" i="9"/>
  <c r="E97" i="9"/>
  <c r="M55" i="9"/>
  <c r="C64" i="9"/>
  <c r="C63" i="9"/>
  <c r="C67" i="9"/>
  <c r="D59" i="9"/>
  <c r="B51" i="72"/>
  <c r="F4" i="52"/>
  <c r="H108" i="9"/>
  <c r="D15" i="53"/>
  <c r="B31" i="72"/>
  <c r="F118" i="9"/>
  <c r="G118" i="9"/>
  <c r="G4" i="52"/>
  <c r="B52" i="72"/>
  <c r="C73" i="9"/>
  <c r="C78" i="9"/>
  <c r="N58" i="9"/>
  <c r="P57" i="9"/>
  <c r="M48" i="9"/>
  <c r="D13" i="53"/>
  <c r="B30" i="72"/>
  <c r="D53" i="9"/>
  <c r="D52" i="9"/>
  <c r="N61" i="9"/>
  <c r="D45" i="9"/>
  <c r="D55" i="9"/>
  <c r="M53" i="9"/>
  <c r="N57" i="9"/>
  <c r="N59" i="9"/>
  <c r="N60" i="9"/>
  <c r="H101" i="9"/>
  <c r="H107" i="9"/>
  <c r="D122" i="9"/>
  <c r="D8" i="52"/>
  <c r="H102" i="9"/>
  <c r="C5" i="74"/>
  <c r="I4" i="52"/>
  <c r="C105" i="9"/>
  <c r="E118" i="9"/>
  <c r="D118" i="9"/>
  <c r="D119" i="9"/>
  <c r="D5" i="52"/>
  <c r="B49" i="72"/>
  <c r="C104" i="9"/>
  <c r="I118" i="9"/>
  <c r="H118" i="9"/>
  <c r="H4" i="5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7164B2A9-7EA9-4BF0-8714-94D728FC8648}">
      <text>
        <r>
          <rPr>
            <b/>
            <sz val="9"/>
            <color indexed="81"/>
            <rFont val="宋体"/>
            <family val="3"/>
            <charset val="134"/>
          </rPr>
          <t>权重验证</t>
        </r>
        <r>
          <rPr>
            <sz val="9"/>
            <color indexed="81"/>
            <rFont val="宋体"/>
            <family val="3"/>
            <charset val="134"/>
          </rPr>
          <t xml:space="preserve">
</t>
        </r>
      </text>
    </comment>
    <comment ref="C58" authorId="1" shapeId="0" xr:uid="{D1F7335B-1C2D-4B48-BE57-67F7307C71F5}">
      <text>
        <r>
          <rPr>
            <b/>
            <sz val="12"/>
            <color indexed="81"/>
            <rFont val="宋体"/>
            <family val="3"/>
            <charset val="134"/>
          </rPr>
          <t>价值时点所在月度</t>
        </r>
        <r>
          <rPr>
            <sz val="12"/>
            <color indexed="81"/>
            <rFont val="宋体"/>
            <family val="3"/>
            <charset val="134"/>
          </rPr>
          <t xml:space="preserve">
</t>
        </r>
      </text>
    </comment>
    <comment ref="B102" authorId="1" shapeId="0" xr:uid="{65E3C52A-D97D-492A-ACD8-A0E82A2B8F4F}">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<sst xmlns="http://schemas.openxmlformats.org/spreadsheetml/2006/main" count="8393" uniqueCount="3513">
  <si>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</si>
  <si>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</si>
  <si>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</si>
  <si>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</si>
  <si>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</si>
  <si>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</si>
  <si>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</si>
  <si>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</si>
  <si>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</si>
  <si>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</si>
  <si>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</si>
  <si>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</si>
  <si>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</si>
  <si>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</si>
  <si>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</si>
  <si>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</si>
  <si>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</si>
  <si>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</si>
  <si>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</si>
  <si>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</si>
  <si>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</si>
  <si>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</si>
  <si>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</si>
  <si>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</si>
  <si>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</si>
  <si>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</si>
  <si>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</si>
  <si>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</si>
  <si>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</si>
  <si>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</si>
  <si>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</si>
  <si>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</si>
  <si>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</si>
  <si>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</si>
  <si>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</si>
  <si>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</si>
  <si>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</si>
  <si>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</si>
  <si>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</si>
  <si>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</si>
  <si>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</si>
  <si>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</si>
  <si>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</si>
  <si>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</si>
  <si>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</si>
  <si>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</si>
  <si>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</si>
  <si>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</si>
  <si>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</si>
  <si>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</si>
  <si>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</si>
  <si>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</si>
  <si>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</si>
  <si>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</si>
  <si>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</si>
  <si>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</si>
  <si>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</si>
  <si>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</si>
  <si>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</si>
  <si>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</si>
  <si>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</si>
  <si>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</si>
  <si>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</si>
  <si>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</si>
  <si>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</si>
  <si>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</si>
  <si>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</si>
  <si>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</si>
  <si>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</si>
  <si>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</si>
  <si>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</si>
  <si>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</si>
  <si>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</si>
  <si>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</si>
  <si>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</si>
  <si>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</si>
  <si>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</si>
  <si>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</si>
  <si>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</si>
  <si>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</si>
  <si>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</si>
  <si>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</si>
  <si>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</si>
  <si>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</si>
  <si>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</si>
  <si>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</si>
  <si>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</si>
  <si>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</si>
  <si>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</si>
  <si>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</si>
  <si>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</si>
  <si>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</si>
  <si>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</si>
  <si>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</si>
  <si>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</si>
  <si>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</si>
  <si>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</si>
  <si>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</si>
  <si>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</si>
  <si>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</si>
  <si>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</si>
  <si>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</si>
  <si>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</si>
  <si>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</si>
  <si>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</si>
  <si>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</si>
  <si>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</si>
  <si>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</si>
  <si>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</si>
  <si>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</si>
  <si>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</si>
  <si>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</si>
  <si>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</si>
  <si>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</si>
  <si>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</si>
  <si>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</si>
  <si>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</si>
  <si>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</si>
  <si>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</si>
  <si>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</si>
  <si>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</si>
  <si>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</si>
  <si>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</si>
  <si>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</si>
  <si>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</si>
  <si>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</si>
  <si>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</si>
  <si>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</si>
  <si>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</si>
  <si>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</si>
  <si>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</si>
  <si>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</si>
  <si>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</si>
  <si>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</si>
  <si>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</si>
  <si>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</si>
  <si>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</si>
  <si>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</si>
  <si>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</si>
  <si>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</si>
  <si>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</si>
  <si>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</si>
  <si>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</si>
  <si>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</si>
  <si>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</si>
  <si>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</si>
  <si>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</si>
  <si>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</si>
  <si>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</si>
  <si>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</si>
  <si>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</si>
  <si>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</si>
  <si>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</si>
  <si>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</si>
  <si>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</si>
  <si>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</si>
  <si>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</si>
  <si>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</si>
  <si>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</si>
  <si>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</si>
  <si>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</si>
  <si>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</si>
  <si>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</si>
  <si>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</si>
  <si>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</si>
  <si>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</si>
  <si>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</si>
  <si>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</si>
  <si>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</si>
  <si>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</si>
  <si>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</si>
  <si>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</si>
  <si>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</si>
  <si>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</si>
  <si>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</si>
  <si>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</si>
  <si>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</si>
  <si>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</si>
  <si>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</si>
  <si>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</si>
  <si>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</si>
  <si>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</si>
  <si>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</si>
  <si>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</si>
  <si>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</si>
  <si>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</si>
  <si>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</si>
  <si>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</si>
  <si>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</si>
  <si>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</si>
  <si>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</si>
  <si>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</si>
  <si>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</si>
  <si>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</si>
  <si>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</si>
  <si>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</si>
  <si>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</si>
  <si>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</si>
  <si>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</si>
  <si>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</si>
  <si>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</si>
  <si>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</si>
  <si>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</si>
  <si>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</si>
  <si>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</si>
  <si>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</si>
  <si>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</si>
  <si>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</si>
  <si>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</si>
  <si>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</si>
  <si>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</si>
  <si>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</si>
  <si>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</si>
  <si>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</si>
  <si>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</si>
  <si>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</si>
  <si>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</si>
  <si>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</si>
  <si>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</si>
  <si>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</si>
  <si>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</si>
  <si>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</si>
  <si>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</si>
  <si>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</si>
  <si>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</si>
  <si>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</si>
  <si>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</si>
  <si>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</si>
  <si>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</si>
  <si>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</si>
  <si>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</si>
  <si>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</si>
  <si>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</si>
  <si>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</si>
  <si>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</si>
  <si>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</si>
  <si>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</si>
  <si>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</si>
  <si>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</si>
  <si>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</si>
  <si>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</si>
  <si>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</si>
  <si>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</si>
  <si>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</si>
  <si>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</si>
  <si>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</si>
  <si>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</si>
  <si>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</si>
  <si>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</si>
  <si>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</si>
  <si>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</si>
  <si>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</si>
  <si>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</si>
  <si>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</si>
  <si>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</si>
  <si>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</si>
  <si>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</si>
  <si>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</si>
  <si>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</si>
  <si>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</si>
  <si>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</si>
  <si>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</si>
  <si>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</si>
  <si>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</si>
  <si>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</si>
  <si>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</si>
  <si>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</si>
  <si>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</si>
  <si>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</si>
  <si>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</si>
  <si>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</si>
  <si>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</si>
  <si>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</si>
  <si>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</si>
  <si>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</si>
  <si>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</si>
  <si>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</si>
  <si>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</si>
  <si>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</si>
  <si>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</si>
  <si>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</si>
  <si>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</si>
  <si>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</si>
  <si>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</si>
  <si>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</si>
  <si>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</si>
  <si>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</si>
  <si>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</si>
  <si>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</si>
  <si>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</si>
  <si>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</si>
  <si>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</si>
  <si>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</si>
  <si>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</si>
  <si>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</si>
  <si>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</si>
  <si>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</si>
  <si>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</si>
  <si>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</si>
  <si>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</si>
  <si>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</si>
  <si>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</si>
  <si>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</si>
  <si>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</si>
  <si>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</si>
  <si>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</si>
  <si>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</si>
  <si>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</si>
  <si>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</si>
  <si>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</si>
  <si>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</si>
  <si>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</si>
  <si>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</si>
  <si>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</si>
  <si>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</si>
  <si>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</si>
  <si>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</si>
  <si>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</si>
  <si>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</si>
  <si>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</si>
  <si>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</si>
  <si>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</si>
  <si>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</si>
  <si>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</si>
  <si>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</si>
  <si>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</si>
  <si>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</si>
  <si>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</si>
  <si>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</si>
  <si>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</si>
  <si>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</si>
  <si>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</si>
  <si>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</si>
  <si>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</si>
  <si>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</si>
  <si>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</si>
  <si>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</si>
  <si>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</si>
  <si>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</si>
  <si>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</si>
  <si>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</si>
  <si>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</si>
  <si>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</si>
  <si>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</si>
  <si>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</si>
  <si>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</si>
  <si>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</si>
  <si>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</si>
  <si>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</si>
  <si>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</si>
  <si>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</si>
  <si>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</si>
  <si>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</si>
  <si>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</si>
  <si>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</si>
  <si>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</si>
  <si>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</si>
  <si>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</si>
  <si>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</si>
  <si>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</si>
  <si>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</si>
  <si>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</si>
  <si>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</si>
  <si>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</si>
  <si>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</si>
  <si>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</si>
  <si>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</si>
  <si>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</si>
  <si>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</si>
  <si>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</si>
  <si>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</si>
  <si>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</si>
  <si>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</si>
  <si>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</si>
  <si>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</si>
  <si>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</si>
  <si>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</si>
  <si>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</si>
  <si>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</si>
  <si>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</si>
  <si>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</si>
  <si>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</si>
  <si>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</si>
  <si>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</si>
  <si>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</si>
  <si>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</si>
  <si>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</si>
  <si>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</si>
  <si>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</si>
  <si>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</si>
  <si>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</si>
  <si>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</si>
  <si>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</si>
  <si>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</si>
  <si>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</si>
  <si>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</si>
  <si>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</si>
  <si>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</si>
  <si>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</si>
  <si>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</si>
  <si>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</si>
  <si>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</si>
  <si>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</si>
  <si>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</si>
  <si>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</si>
  <si>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</si>
  <si>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</si>
  <si>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</si>
  <si>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</si>
  <si>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</si>
  <si>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</si>
  <si>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</si>
  <si>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</si>
  <si>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</si>
  <si>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</si>
  <si>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</si>
  <si>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</si>
  <si>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</si>
  <si>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</si>
  <si>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</si>
  <si>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</si>
  <si>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</si>
  <si>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</si>
  <si>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</si>
  <si>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</si>
  <si>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</si>
  <si>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</si>
  <si>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</si>
  <si>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</si>
  <si>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</si>
  <si>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</si>
  <si>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</si>
  <si>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</si>
  <si>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</si>
  <si>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</si>
  <si>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</si>
  <si>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</si>
  <si>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</si>
  <si>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</si>
  <si>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</si>
  <si>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</si>
  <si>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</si>
  <si>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</si>
  <si>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</si>
  <si>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</si>
  <si>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</si>
  <si>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</si>
  <si>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</si>
  <si>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</si>
  <si>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</si>
  <si>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</si>
  <si>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</si>
  <si>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</si>
  <si>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</si>
  <si>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</si>
  <si>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</si>
  <si>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</si>
  <si>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</si>
  <si>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</si>
  <si>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</si>
  <si>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</si>
  <si>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</si>
  <si>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</si>
  <si>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</si>
  <si>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</si>
  <si>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</si>
  <si>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</si>
  <si>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</si>
  <si>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</si>
  <si>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</si>
  <si>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</si>
  <si>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</si>
  <si>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</si>
  <si>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</si>
  <si>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</si>
  <si>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</si>
  <si>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</si>
  <si>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</si>
  <si>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</si>
  <si>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</si>
  <si>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</si>
  <si>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</si>
  <si>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</si>
  <si>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</si>
  <si>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</si>
  <si>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</si>
  <si>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</si>
  <si>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</si>
  <si>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</si>
  <si>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</si>
  <si>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</si>
  <si>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</si>
  <si>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</si>
  <si>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</si>
  <si>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</si>
  <si>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</si>
  <si>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</si>
  <si>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</si>
  <si>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</si>
  <si>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</si>
  <si>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</si>
  <si>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</si>
  <si>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</si>
  <si>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</si>
  <si>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</si>
  <si>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</si>
  <si>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</si>
  <si>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</si>
  <si>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</si>
  <si>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</si>
  <si>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</si>
  <si>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</si>
  <si>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</si>
  <si>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</si>
  <si>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</si>
  <si>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</si>
  <si>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</si>
  <si>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</si>
  <si>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</si>
  <si>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</si>
  <si>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</si>
  <si>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</si>
  <si>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</si>
  <si>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</si>
  <si>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</si>
  <si>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</si>
  <si>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</si>
  <si>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</si>
  <si>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</si>
  <si>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</si>
  <si>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</si>
  <si>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</si>
  <si>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</si>
  <si>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</si>
  <si>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</si>
  <si>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</si>
  <si>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</si>
  <si>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</si>
  <si>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</si>
  <si>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</si>
  <si>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</si>
  <si>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</si>
  <si>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</si>
  <si>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</si>
  <si>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</si>
  <si>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</si>
  <si>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</si>
  <si>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</si>
  <si>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</si>
  <si>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</si>
  <si>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</si>
  <si>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</si>
  <si>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</si>
  <si>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</si>
  <si>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</si>
  <si>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</si>
  <si>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</si>
  <si>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</si>
  <si>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</si>
  <si>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</si>
  <si>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</si>
  <si>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</si>
  <si>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</si>
  <si>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</si>
  <si>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</si>
  <si>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</si>
  <si>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</si>
  <si>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</si>
  <si>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</si>
  <si>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</si>
  <si>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</si>
  <si>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</si>
  <si>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</si>
  <si>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</si>
  <si>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</si>
  <si>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</si>
  <si>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</si>
  <si>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</si>
  <si>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</si>
  <si>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</si>
  <si>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</si>
  <si>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</si>
  <si>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</si>
  <si>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</si>
  <si>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</si>
  <si>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</si>
  <si>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</si>
  <si>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</si>
  <si>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</si>
  <si>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</si>
  <si>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</si>
  <si>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</si>
  <si>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</si>
  <si>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</si>
  <si>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</si>
  <si>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</si>
  <si>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</si>
  <si>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</si>
  <si>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</si>
  <si>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</si>
  <si>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</si>
  <si>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</si>
  <si>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</si>
  <si>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</si>
  <si>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</si>
  <si>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</si>
  <si>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</si>
  <si>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</si>
  <si>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</si>
  <si>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</si>
  <si>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</si>
  <si>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</si>
  <si>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</si>
  <si>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</si>
  <si>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</si>
  <si>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</si>
  <si>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</si>
  <si>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</si>
  <si>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</si>
  <si>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</si>
  <si>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</si>
  <si>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</si>
  <si>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</si>
  <si>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</si>
  <si>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</si>
  <si>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</si>
  <si>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</si>
  <si>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</si>
  <si>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</si>
  <si>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</si>
  <si>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</si>
  <si>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</si>
  <si>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</si>
  <si>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</si>
  <si>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</si>
  <si>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</si>
  <si>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</si>
  <si>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</si>
  <si>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</si>
  <si>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</si>
  <si>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</si>
  <si>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</si>
  <si>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</si>
  <si>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</si>
  <si>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</si>
  <si>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</si>
  <si>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</si>
  <si>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</si>
  <si>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</si>
  <si>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</si>
  <si>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</si>
  <si>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</si>
  <si>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</si>
  <si>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</si>
  <si>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</si>
  <si>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</si>
  <si>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</si>
  <si>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</si>
  <si>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</si>
  <si>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</si>
  <si>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</si>
  <si>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</si>
  <si>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</si>
  <si>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</si>
  <si>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</si>
  <si>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</si>
  <si>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</si>
  <si>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</si>
  <si>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</si>
  <si>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</si>
  <si>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</si>
  <si>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</si>
  <si>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</si>
  <si>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</si>
  <si>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</si>
  <si>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</si>
  <si>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</si>
  <si>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</si>
  <si>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</si>
  <si>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</si>
  <si>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</si>
  <si>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</si>
  <si>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</si>
  <si>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</si>
  <si>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</si>
  <si>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</si>
  <si>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</si>
  <si>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</si>
  <si>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</si>
  <si>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</si>
  <si>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</si>
  <si>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</si>
  <si>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</si>
  <si>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</si>
  <si>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</si>
  <si>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</si>
  <si>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</si>
  <si>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</si>
  <si>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</si>
  <si>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</si>
  <si>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</si>
  <si>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</si>
  <si>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</si>
  <si>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</si>
  <si>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</si>
  <si>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</si>
  <si>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</si>
  <si>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</si>
  <si>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</si>
  <si>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</si>
  <si>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</si>
  <si>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</si>
  <si>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</si>
  <si>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</si>
  <si>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</si>
  <si>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</si>
  <si>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</si>
  <si>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</si>
  <si>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</si>
  <si>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</si>
  <si>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</si>
  <si>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</si>
  <si>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</si>
  <si>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</si>
  <si>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</si>
  <si>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</si>
  <si>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</si>
  <si>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</si>
  <si>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</si>
  <si>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</si>
  <si>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</si>
  <si>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</si>
  <si>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</si>
  <si>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</si>
  <si>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</si>
  <si>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</si>
  <si>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</si>
  <si>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</si>
  <si>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</si>
  <si>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</si>
  <si>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</si>
  <si>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</si>
  <si>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</si>
  <si>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</si>
  <si>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</si>
  <si>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</si>
  <si>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</si>
  <si>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</si>
  <si>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</si>
  <si>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</si>
  <si>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</si>
  <si>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</si>
  <si>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</si>
  <si>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</si>
  <si>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</si>
  <si>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</si>
  <si>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</si>
  <si>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</si>
  <si>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</si>
  <si>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</si>
  <si>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</si>
  <si>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</si>
  <si>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</si>
  <si>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</si>
  <si>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</si>
  <si>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</si>
  <si>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</si>
  <si>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</si>
  <si>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</si>
  <si>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</si>
  <si>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</si>
  <si>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</si>
  <si>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</si>
  <si>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</si>
  <si>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</si>
  <si>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</si>
  <si>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</si>
  <si>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</si>
  <si>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</si>
  <si>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</si>
  <si>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</si>
  <si>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</si>
  <si>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</si>
  <si>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</si>
  <si>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</si>
  <si>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</si>
  <si>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</si>
  <si>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</si>
  <si>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</si>
  <si>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</si>
  <si>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</si>
  <si>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</si>
  <si>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</si>
  <si>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</si>
  <si>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</si>
  <si>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</si>
  <si>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</si>
  <si>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</si>
  <si>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</si>
  <si>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</si>
  <si>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</si>
  <si>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</si>
  <si>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</si>
  <si>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</si>
  <si>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</si>
  <si>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</si>
  <si>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</si>
  <si>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</si>
  <si>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</si>
  <si>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</si>
  <si>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</si>
  <si>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</si>
  <si>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</si>
  <si>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</si>
  <si>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</si>
  <si>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</si>
  <si>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</si>
  <si>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</si>
  <si>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</si>
  <si>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</si>
  <si>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</si>
  <si>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</si>
  <si>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</si>
  <si>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</si>
  <si>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</si>
  <si>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</si>
  <si>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</si>
  <si>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</si>
  <si>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</si>
  <si>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</si>
  <si>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</si>
  <si>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</si>
  <si>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</si>
  <si>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</si>
  <si>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</si>
  <si>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</si>
  <si>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</si>
  <si>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</si>
  <si>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</si>
  <si>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</si>
  <si>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</si>
  <si>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</si>
  <si>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</si>
  <si>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</si>
  <si>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</si>
  <si>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</si>
  <si>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</si>
  <si>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</si>
  <si>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</si>
  <si>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</si>
  <si>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</si>
  <si>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</si>
  <si>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</si>
  <si>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</si>
  <si>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</si>
  <si>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</si>
  <si>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</si>
  <si>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</si>
  <si>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</si>
  <si>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</si>
  <si>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</si>
  <si>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</si>
  <si>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</si>
  <si>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</si>
  <si>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</si>
  <si>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</si>
  <si>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</si>
  <si>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</si>
  <si>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</si>
  <si>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</si>
  <si>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</si>
  <si>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</si>
  <si>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</si>
  <si>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</si>
  <si>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</si>
  <si>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</si>
  <si>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</si>
  <si>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</si>
  <si>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</si>
  <si>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</si>
  <si>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</si>
  <si>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</si>
  <si>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</si>
  <si>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</si>
  <si>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</si>
  <si>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</si>
  <si>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</si>
  <si>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</si>
  <si>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</si>
  <si>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</si>
  <si>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</si>
  <si>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</si>
  <si>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</si>
  <si>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</si>
  <si>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</si>
  <si>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</si>
  <si>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</si>
  <si>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</si>
  <si>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</si>
  <si>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</si>
  <si>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</si>
  <si>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</si>
  <si>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</si>
  <si>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</si>
  <si>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</si>
  <si>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</si>
  <si>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</si>
  <si>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</si>
  <si>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</si>
  <si>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</si>
  <si>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</si>
  <si>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</si>
  <si>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</si>
  <si>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</si>
  <si>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</si>
  <si>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</si>
  <si>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</si>
  <si>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</si>
  <si>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</si>
  <si>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</si>
  <si>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</si>
  <si>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</si>
  <si>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</si>
  <si>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</si>
  <si>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</si>
  <si>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</si>
  <si>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</si>
  <si>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</si>
  <si>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</si>
  <si>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</si>
  <si>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</si>
  <si>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</si>
  <si>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</si>
  <si>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</si>
  <si>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</si>
  <si>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</si>
  <si>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</si>
  <si>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</si>
  <si>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</si>
  <si>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</si>
  <si>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</si>
  <si>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</si>
  <si>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</si>
  <si>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</si>
  <si>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</si>
  <si>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</si>
  <si>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</si>
  <si>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</si>
  <si>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</si>
  <si>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</si>
  <si>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</si>
  <si>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</si>
  <si>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</si>
  <si>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</si>
  <si>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</si>
  <si>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</si>
  <si>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</si>
  <si>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</si>
  <si>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</si>
  <si>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</si>
  <si>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</si>
  <si>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</si>
  <si>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</si>
  <si>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</si>
  <si>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</si>
  <si>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</si>
  <si>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</si>
  <si>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</si>
  <si>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</si>
  <si>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</si>
  <si>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</si>
  <si>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</si>
  <si>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</si>
  <si>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</si>
  <si>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</si>
  <si>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</si>
  <si>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</si>
  <si>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</si>
  <si>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</si>
  <si>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</si>
  <si>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</si>
  <si>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</si>
  <si>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</si>
  <si>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</si>
  <si>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</si>
  <si>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</si>
  <si>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</si>
  <si>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</si>
  <si>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</si>
  <si>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</si>
  <si>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</si>
  <si>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</si>
  <si>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</si>
  <si>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</si>
  <si>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</si>
  <si>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</si>
  <si>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</si>
  <si>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</si>
  <si>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</si>
  <si>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</si>
  <si>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</si>
  <si>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</si>
  <si>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</si>
  <si>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</si>
  <si>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</si>
  <si>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</si>
  <si>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</si>
  <si>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</si>
  <si>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</si>
  <si>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</si>
  <si>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</si>
  <si>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</si>
  <si>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</si>
  <si>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</si>
  <si>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</si>
  <si>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</si>
  <si>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</si>
  <si>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</si>
  <si>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</si>
  <si>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</si>
  <si>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</si>
  <si>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</si>
  <si>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</si>
  <si>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</si>
  <si>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</si>
  <si>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</si>
  <si>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</si>
  <si>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</si>
  <si>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</si>
  <si>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</si>
  <si>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</si>
  <si>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</si>
  <si>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</si>
  <si>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</si>
  <si>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</si>
  <si>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</si>
  <si>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</si>
  <si>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</si>
  <si>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</si>
  <si>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</si>
  <si>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</si>
  <si>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</si>
  <si>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</si>
  <si>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</si>
  <si>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</si>
  <si>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</si>
  <si>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</si>
  <si>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</si>
  <si>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</si>
  <si>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</si>
  <si>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</si>
  <si>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</si>
  <si>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</si>
  <si>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</si>
  <si>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</si>
  <si>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</si>
  <si>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</si>
  <si>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</si>
  <si>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</si>
  <si>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</si>
  <si>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</si>
  <si>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</si>
  <si>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</si>
  <si>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</si>
  <si>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</si>
  <si>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</si>
  <si>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</si>
  <si>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</si>
  <si>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</si>
  <si>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</si>
  <si>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</si>
  <si>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</si>
  <si>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</si>
  <si>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</si>
  <si>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</si>
  <si>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</si>
  <si>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</si>
  <si>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</si>
  <si>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</si>
  <si>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</si>
  <si>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</si>
  <si>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</si>
  <si>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</si>
  <si>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</si>
  <si>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</si>
  <si>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</si>
  <si>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</si>
  <si>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</si>
  <si>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</si>
  <si>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</si>
  <si>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</si>
  <si>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</si>
  <si>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</si>
  <si>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</si>
  <si>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</si>
  <si>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</si>
  <si>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</si>
  <si>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</si>
  <si>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</si>
  <si>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</si>
  <si>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</si>
  <si>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</si>
  <si>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</si>
  <si>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</si>
  <si>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</si>
  <si>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</si>
  <si>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</si>
  <si>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</si>
  <si>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</si>
  <si>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</si>
  <si>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</si>
  <si>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</si>
  <si>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</si>
  <si>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</si>
  <si>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</si>
  <si>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</si>
  <si>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</si>
  <si>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</si>
  <si>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</si>
  <si>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</si>
  <si>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</si>
  <si>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</si>
  <si>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</si>
  <si>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</si>
  <si>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</si>
  <si>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</si>
  <si>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</si>
  <si>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</si>
  <si>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</si>
  <si>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</si>
  <si>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</si>
  <si>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</si>
  <si>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</si>
  <si>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</si>
  <si>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</si>
  <si>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</si>
  <si>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</si>
  <si>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</si>
  <si>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</si>
  <si>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</si>
  <si>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</si>
  <si>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</si>
  <si>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</si>
  <si>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</si>
  <si>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</si>
  <si>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</si>
  <si>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</si>
  <si>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</si>
  <si>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</si>
  <si>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</si>
  <si>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</si>
  <si>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</si>
  <si>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</si>
  <si>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</si>
  <si>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</si>
  <si>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</si>
  <si>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</si>
  <si>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</si>
  <si>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</si>
  <si>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</si>
  <si>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</si>
  <si>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</si>
  <si>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</si>
  <si>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</si>
  <si>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</si>
  <si>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</si>
  <si>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</si>
  <si>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</si>
  <si>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</si>
  <si>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</si>
  <si>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</si>
  <si>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</si>
  <si>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</si>
  <si>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</si>
  <si>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</si>
  <si>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</si>
  <si>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</si>
  <si>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</si>
  <si>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</si>
  <si>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</si>
  <si>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</si>
  <si>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</si>
  <si>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</si>
  <si>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</si>
  <si>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</si>
  <si>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</si>
  <si>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</si>
  <si>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</si>
  <si>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</si>
  <si>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</si>
  <si>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</si>
  <si>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</si>
  <si>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</si>
  <si>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</si>
  <si>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</si>
  <si>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</si>
  <si>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</si>
  <si>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</si>
  <si>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</si>
  <si>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</si>
  <si>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</si>
  <si>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</si>
  <si>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</si>
  <si>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</si>
  <si>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</si>
  <si>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</si>
  <si>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</si>
  <si>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</si>
  <si>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</si>
  <si>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</si>
  <si>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</si>
  <si>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</si>
  <si>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</si>
  <si>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</si>
  <si>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</si>
  <si>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</si>
  <si>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</si>
  <si>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</si>
  <si>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</si>
  <si>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</si>
  <si>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</si>
  <si>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</si>
  <si>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</si>
  <si>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</si>
  <si>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</si>
  <si>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</si>
  <si>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</si>
  <si>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</si>
  <si>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</si>
  <si>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</si>
  <si>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</si>
  <si>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</si>
  <si>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</si>
  <si>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</si>
  <si>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</si>
  <si>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</si>
  <si>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</si>
  <si>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</si>
  <si>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</si>
  <si>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</si>
  <si>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</si>
  <si>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</si>
  <si>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</si>
  <si>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</si>
  <si>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</si>
  <si>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</si>
  <si>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</si>
  <si>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</si>
  <si>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</si>
  <si>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</si>
  <si>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</si>
  <si>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</si>
  <si>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</si>
  <si>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</si>
  <si>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</si>
  <si>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</si>
  <si>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</si>
  <si>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</si>
  <si>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</si>
  <si>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</si>
  <si>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</si>
  <si>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</si>
  <si>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</si>
  <si>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</si>
  <si>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</si>
  <si>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</si>
  <si>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</si>
  <si>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</si>
  <si>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</si>
  <si>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</si>
  <si>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</si>
  <si>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</si>
  <si>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</si>
  <si>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</si>
  <si>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</si>
  <si>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</si>
  <si>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</si>
  <si>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</si>
  <si>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</si>
  <si>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</si>
  <si>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</si>
  <si>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</si>
  <si>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</si>
  <si>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</si>
  <si>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</si>
  <si>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</si>
  <si>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</si>
  <si>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</si>
  <si>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</si>
  <si>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</si>
  <si>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</si>
  <si>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</si>
  <si>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</si>
  <si>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</si>
  <si>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</si>
  <si>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</si>
  <si>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</si>
  <si>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</si>
  <si>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</si>
  <si>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</si>
  <si>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</si>
  <si>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</si>
  <si>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</si>
  <si>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</si>
  <si>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</si>
  <si>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</si>
  <si>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</si>
  <si>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</si>
  <si>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</si>
  <si>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</si>
  <si>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</si>
  <si>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</si>
  <si>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</si>
  <si>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</si>
  <si>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</si>
  <si>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</si>
  <si>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</si>
  <si>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</si>
  <si>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</si>
  <si>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</si>
  <si>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</si>
  <si>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</si>
  <si>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</si>
  <si>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</si>
  <si>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</si>
  <si>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</si>
  <si>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</si>
  <si>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</si>
  <si>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</si>
  <si>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</si>
  <si>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</si>
  <si>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</si>
  <si>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</si>
  <si>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</si>
  <si>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</si>
  <si>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</si>
  <si>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</si>
  <si>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</si>
  <si>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</si>
  <si>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</si>
  <si>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</si>
  <si>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</si>
  <si>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</si>
  <si>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</si>
  <si>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</si>
  <si>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</si>
  <si>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</si>
  <si>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</si>
  <si>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</si>
  <si>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</si>
  <si>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</si>
  <si>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</si>
  <si>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</si>
  <si>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</si>
  <si>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</si>
  <si>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</si>
  <si>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</si>
  <si>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</si>
  <si>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</si>
  <si>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</si>
  <si>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</si>
  <si>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</si>
  <si>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</si>
  <si>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</si>
  <si>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</si>
  <si>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</si>
  <si>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</si>
  <si>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</si>
  <si>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</si>
  <si>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</si>
  <si>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</si>
  <si>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</si>
  <si>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</si>
  <si>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</si>
  <si>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</si>
  <si>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</si>
  <si>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</si>
  <si>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</si>
  <si>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</si>
  <si>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</si>
  <si>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</si>
  <si>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</si>
  <si>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</si>
  <si>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</si>
  <si>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</si>
  <si>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</si>
  <si>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</si>
  <si>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</si>
  <si>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</si>
  <si>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</si>
  <si>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</si>
  <si>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</si>
  <si>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</si>
  <si>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</si>
  <si>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</si>
  <si>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</si>
  <si>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</si>
  <si>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</si>
  <si>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</si>
  <si>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</si>
  <si>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</si>
  <si>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</si>
  <si>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</si>
  <si>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</si>
  <si>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</si>
  <si>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</si>
  <si>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</si>
  <si>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</si>
  <si>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</si>
  <si>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</si>
  <si>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</si>
  <si>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</si>
  <si>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</si>
  <si>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</si>
  <si>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</si>
  <si>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</si>
  <si>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</si>
  <si>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</si>
  <si>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</si>
  <si>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</si>
  <si>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</si>
  <si>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</si>
  <si>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</si>
  <si>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</si>
  <si>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</si>
  <si>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</si>
  <si>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</si>
  <si>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</si>
  <si>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</si>
  <si>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</si>
  <si>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</si>
  <si>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</si>
  <si>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</si>
  <si>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</si>
  <si>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</si>
  <si>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</si>
  <si>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</si>
  <si>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</si>
  <si>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</si>
  <si>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</si>
  <si>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</si>
  <si>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</si>
  <si>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</si>
  <si>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</si>
  <si>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</si>
  <si>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</si>
  <si>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</si>
  <si>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</si>
  <si>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</si>
  <si>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</si>
  <si>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</si>
  <si>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</si>
  <si>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</si>
  <si>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</si>
  <si>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</si>
  <si>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</si>
  <si>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</si>
  <si>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</si>
  <si>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</si>
  <si>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</si>
  <si>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</si>
  <si>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</si>
  <si>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</si>
  <si>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</si>
  <si>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</si>
  <si>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</si>
  <si>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</si>
  <si>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</si>
  <si>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</si>
  <si>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</si>
  <si>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</si>
  <si>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</si>
  <si>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</si>
  <si>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</si>
  <si>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</si>
  <si>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</si>
  <si>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</si>
  <si>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</si>
  <si>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</si>
  <si>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</si>
  <si>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</si>
  <si>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</si>
  <si>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</si>
  <si>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</si>
  <si>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</si>
  <si>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</si>
  <si>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</si>
  <si>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</si>
  <si>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</si>
  <si>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</si>
  <si>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</si>
  <si>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</si>
  <si>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</si>
  <si>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</si>
  <si>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</si>
  <si>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</si>
  <si>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</si>
  <si>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</si>
  <si>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</si>
  <si>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</si>
  <si>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</si>
  <si>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</si>
  <si>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</si>
  <si>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</si>
  <si>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</si>
  <si>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</si>
  <si>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</si>
  <si>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</si>
  <si>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</si>
  <si>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</si>
  <si>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</si>
  <si>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</si>
  <si>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</si>
  <si>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</si>
  <si>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</si>
  <si>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</si>
  <si>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</si>
  <si>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</si>
  <si>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</si>
  <si>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</si>
  <si>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</si>
  <si>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</si>
  <si>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</si>
  <si>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</si>
  <si>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</si>
  <si>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</si>
  <si>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</si>
  <si>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</si>
  <si>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</si>
  <si>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</si>
  <si>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</si>
  <si>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</si>
  <si>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</si>
  <si>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</si>
  <si>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</si>
  <si>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</si>
  <si>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</si>
  <si>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</si>
  <si>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</si>
  <si>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</si>
  <si>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</si>
  <si>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</si>
  <si>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</si>
  <si>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</si>
  <si>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</si>
  <si>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</si>
  <si>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</si>
  <si>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</si>
  <si>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</si>
  <si>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</si>
  <si>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</si>
  <si>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</si>
  <si>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</si>
  <si>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</si>
  <si>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</si>
  <si>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</si>
  <si>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</si>
  <si>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</si>
  <si>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</si>
  <si>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</si>
  <si>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</si>
  <si>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</si>
  <si>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</si>
  <si>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</si>
  <si>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</si>
  <si>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</si>
  <si>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</si>
  <si>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</si>
  <si>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</si>
  <si>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</si>
  <si>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</si>
  <si>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</si>
  <si>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</si>
  <si>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</si>
  <si>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</si>
  <si>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</si>
  <si>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</si>
  <si>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</si>
  <si>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</si>
  <si>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</si>
  <si>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</si>
  <si>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</si>
  <si>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</si>
  <si>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</si>
  <si>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</si>
  <si>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</si>
  <si>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</si>
  <si>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</si>
  <si>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</si>
  <si>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</si>
  <si>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</si>
  <si>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</si>
  <si>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</si>
  <si>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</si>
  <si>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</si>
  <si>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</si>
  <si>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</si>
  <si>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</si>
  <si>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</si>
  <si>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</si>
  <si>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</si>
  <si>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</si>
  <si>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</si>
  <si>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</si>
  <si>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</si>
  <si>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</si>
  <si>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</si>
  <si>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</si>
  <si>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</si>
  <si>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</si>
  <si>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</si>
  <si>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</si>
  <si>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</si>
  <si>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</si>
  <si>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</si>
  <si>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</si>
  <si>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</si>
  <si>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</si>
  <si>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</si>
  <si>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</si>
  <si>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</si>
  <si>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</si>
  <si>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</si>
  <si>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</si>
  <si>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</si>
  <si>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</si>
  <si>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</si>
  <si>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</si>
  <si>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</si>
  <si>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</si>
  <si>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</si>
  <si>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</si>
  <si>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</si>
  <si>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</si>
  <si>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</si>
  <si>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</si>
  <si>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</si>
  <si>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</si>
  <si>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</si>
  <si>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</si>
  <si>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</si>
  <si>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</si>
  <si>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</si>
  <si>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</si>
  <si>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</si>
  <si>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</si>
  <si>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</si>
  <si>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</si>
  <si>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</si>
  <si>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</si>
  <si>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</si>
  <si>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</si>
  <si>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</si>
  <si>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</si>
  <si>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</si>
  <si>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</si>
  <si>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</si>
  <si>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</si>
  <si>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</si>
  <si>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</si>
  <si>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</si>
  <si>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</si>
  <si>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</si>
  <si>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</si>
  <si>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</si>
  <si>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</si>
  <si>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</si>
  <si>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</si>
  <si>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</si>
  <si>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</si>
  <si>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</si>
  <si>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</si>
  <si>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</si>
  <si>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</si>
  <si>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</si>
  <si>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</si>
  <si>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</si>
  <si>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</si>
  <si>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</si>
  <si>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</si>
  <si>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</si>
  <si>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</si>
  <si>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</si>
  <si>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</si>
  <si>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</si>
  <si>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</si>
  <si>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</si>
  <si>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</si>
  <si>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</si>
  <si>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</si>
  <si>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</si>
  <si>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</si>
  <si>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</si>
  <si>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</si>
  <si>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</si>
  <si>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</si>
  <si>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</si>
  <si>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</si>
  <si>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</si>
  <si>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</si>
  <si>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</si>
  <si>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</si>
  <si>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</si>
  <si>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</si>
  <si>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</si>
  <si>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</si>
  <si>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</si>
  <si>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</si>
  <si>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</si>
  <si>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</si>
  <si>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</si>
  <si>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</si>
  <si>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</si>
  <si>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</si>
  <si>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</si>
  <si>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</si>
  <si>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</si>
  <si>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</si>
  <si>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</si>
  <si>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</si>
  <si>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</si>
  <si>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</si>
  <si>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</si>
  <si>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</si>
  <si>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</si>
  <si>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</si>
  <si>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</si>
  <si>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</si>
  <si>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</si>
  <si>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</si>
  <si>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</si>
  <si>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</si>
  <si>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</si>
  <si>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</si>
  <si>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</si>
  <si>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</si>
  <si>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</si>
  <si>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</si>
  <si>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</si>
  <si>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</si>
  <si>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</si>
  <si>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</si>
  <si>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</si>
  <si>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</si>
  <si>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</si>
  <si>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</si>
  <si>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</si>
  <si>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</si>
  <si>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</si>
  <si>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</si>
  <si>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</si>
  <si>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</si>
  <si>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</si>
  <si>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</si>
  <si>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</si>
  <si>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</si>
  <si>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</si>
  <si>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</si>
  <si>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</si>
  <si>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</si>
  <si>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</si>
  <si>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</si>
  <si>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</si>
  <si>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</si>
  <si>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</si>
  <si>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</si>
  <si>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</si>
  <si>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</si>
  <si>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</si>
  <si>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</si>
  <si>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</si>
  <si>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</si>
  <si>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</si>
  <si>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</si>
  <si>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</si>
  <si>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</si>
  <si>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</si>
  <si>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</si>
  <si>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</si>
  <si>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</si>
  <si>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</si>
  <si>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</si>
  <si>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</si>
  <si>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</si>
  <si>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</si>
  <si>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</si>
  <si>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</si>
  <si>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</si>
  <si>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</si>
  <si>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</si>
  <si>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</si>
  <si>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</si>
  <si>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</si>
  <si>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</si>
  <si>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</si>
  <si>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</si>
  <si>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</si>
  <si>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</si>
  <si>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</si>
  <si>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</si>
  <si>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</si>
  <si>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</si>
  <si>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</si>
  <si>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</si>
  <si>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</si>
  <si>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</si>
  <si>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</si>
  <si>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</si>
  <si>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</si>
  <si>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</si>
  <si>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</si>
  <si>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</si>
  <si>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</si>
  <si>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</si>
  <si>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</si>
  <si>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</si>
  <si>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</si>
  <si>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</si>
  <si>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</si>
  <si>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</si>
  <si>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</si>
  <si>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</si>
  <si>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</si>
  <si>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</si>
  <si>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</si>
  <si>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</si>
  <si>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</si>
  <si>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</si>
  <si>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</si>
  <si>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</si>
  <si>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</si>
  <si>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</si>
  <si>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</si>
  <si>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</si>
  <si>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</si>
  <si>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</si>
  <si>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</si>
  <si>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</si>
  <si>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</si>
  <si>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</si>
  <si>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</si>
  <si>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</si>
  <si>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</si>
  <si>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</si>
  <si>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</si>
  <si>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</si>
  <si>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</si>
  <si>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</si>
  <si>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</si>
  <si>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</si>
  <si>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</si>
  <si>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</si>
  <si>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</si>
  <si>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</si>
  <si>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</si>
  <si>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</si>
  <si>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</si>
  <si>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</si>
  <si>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</si>
  <si>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</si>
  <si>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</si>
  <si>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</si>
  <si>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</si>
  <si>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</si>
  <si>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</si>
  <si>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</si>
  <si>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</si>
  <si>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</si>
  <si>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</si>
  <si>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</si>
  <si>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</si>
  <si>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</si>
  <si>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</si>
  <si>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</si>
  <si>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</si>
  <si>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</si>
  <si>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</si>
  <si>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</si>
  <si>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</si>
  <si>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</si>
  <si>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</si>
  <si>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</si>
  <si>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</si>
  <si>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</si>
  <si>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</si>
  <si>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</si>
  <si>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</si>
  <si>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</si>
  <si>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</si>
  <si>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</si>
  <si>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</si>
  <si>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</si>
  <si>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</si>
  <si>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</si>
  <si>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</si>
  <si>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</si>
  <si>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</si>
  <si>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</si>
  <si>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</si>
  <si>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</si>
  <si>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</si>
  <si>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</si>
  <si>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</si>
  <si>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</si>
  <si>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</si>
  <si>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</si>
  <si>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</si>
  <si>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</si>
  <si>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</si>
  <si>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</si>
  <si>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</si>
  <si>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</si>
  <si>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</si>
  <si>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</si>
  <si>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</si>
  <si>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</si>
  <si>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</si>
  <si>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</si>
  <si>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</si>
  <si>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</si>
  <si>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</si>
  <si>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</si>
  <si>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</si>
  <si>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</si>
  <si>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</si>
  <si>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</si>
  <si>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</si>
  <si>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</si>
  <si>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</si>
  <si>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</si>
  <si>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</si>
  <si>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</si>
  <si>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</si>
  <si>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</si>
  <si>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</si>
  <si>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</si>
  <si>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</si>
  <si>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</si>
  <si>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</si>
  <si>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</si>
  <si>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</si>
  <si>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</si>
  <si>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</si>
  <si>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</si>
  <si>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</si>
  <si>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</si>
  <si>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</si>
  <si>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</si>
  <si>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</si>
  <si>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</si>
  <si>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</si>
  <si>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</si>
  <si>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</si>
  <si>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</si>
  <si>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</si>
  <si>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</si>
  <si>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</si>
  <si>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</si>
  <si>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</si>
  <si>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</si>
  <si>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</si>
  <si>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</si>
  <si>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</si>
  <si>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</si>
  <si>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</si>
  <si>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</si>
  <si>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</si>
  <si>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</si>
  <si>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</si>
  <si>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</si>
  <si>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</si>
  <si>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</si>
  <si>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</si>
  <si>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</si>
  <si>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</si>
  <si>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</si>
  <si>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</si>
  <si>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</si>
  <si>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</si>
  <si>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</si>
  <si>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</si>
  <si>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</si>
  <si>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</si>
  <si>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</si>
  <si>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</si>
  <si>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</si>
  <si>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</si>
  <si>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</si>
  <si>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</si>
  <si>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</si>
  <si>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</si>
  <si>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</si>
  <si>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</si>
  <si>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</si>
  <si>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</si>
  <si>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</si>
  <si>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</si>
  <si>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</si>
  <si>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</si>
  <si>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</si>
  <si>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</si>
  <si>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</si>
  <si>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</si>
  <si>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</si>
  <si>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</si>
  <si>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</si>
  <si>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</si>
  <si>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</si>
  <si>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</si>
  <si>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</si>
  <si>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</si>
  <si>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</si>
  <si>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</si>
  <si>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</si>
  <si>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</si>
  <si>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</si>
  <si>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</si>
  <si>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</si>
  <si>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</si>
  <si>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</si>
  <si>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</si>
  <si>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</si>
  <si>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</si>
  <si>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</si>
  <si>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</si>
  <si>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</si>
  <si>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</si>
  <si>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</si>
  <si>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</si>
  <si>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</si>
  <si>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</si>
  <si>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</si>
  <si>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</si>
  <si>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</si>
  <si>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</si>
  <si>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</si>
  <si>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</si>
  <si>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</si>
  <si>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</si>
  <si>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</si>
  <si>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</si>
  <si>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</si>
  <si>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</si>
  <si>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</si>
  <si>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</si>
  <si>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</si>
  <si>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</si>
  <si>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</si>
  <si>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</si>
  <si>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</si>
  <si>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</si>
  <si>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</si>
  <si>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</si>
  <si>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</si>
  <si>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</si>
  <si>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</si>
  <si>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</si>
  <si>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</si>
  <si>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</si>
  <si>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</si>
  <si>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</si>
  <si>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</si>
  <si>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</si>
  <si>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</si>
  <si>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</si>
  <si>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</si>
  <si>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</si>
  <si>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</si>
  <si>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</si>
  <si>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</si>
  <si>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</si>
  <si>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</si>
  <si>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</si>
  <si>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</si>
  <si>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</si>
  <si>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</si>
  <si>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</si>
  <si>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</si>
  <si>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</si>
  <si>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</si>
  <si>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</si>
  <si>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</si>
  <si>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</si>
  <si>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</si>
  <si>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</si>
  <si>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</si>
  <si>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</si>
  <si>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</si>
  <si>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</si>
  <si>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</si>
  <si>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</si>
  <si>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</si>
  <si>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</si>
  <si>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</si>
  <si>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</si>
  <si>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</si>
  <si>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</si>
  <si>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</si>
  <si>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</si>
  <si>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</si>
  <si>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</si>
  <si>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</si>
  <si>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</si>
  <si>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</si>
  <si>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</si>
  <si>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</si>
  <si>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</si>
  <si>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</si>
  <si>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</si>
  <si>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</si>
  <si>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</si>
  <si>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</si>
  <si>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</si>
  <si>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</si>
  <si>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</si>
  <si>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</si>
  <si>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</si>
  <si>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</si>
  <si>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</si>
  <si>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</si>
  <si>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</si>
  <si>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</si>
  <si>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</si>
  <si>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</si>
  <si>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</si>
  <si>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</si>
  <si>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</si>
  <si>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</si>
  <si>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</si>
  <si>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</si>
  <si>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</si>
  <si>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</si>
  <si>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</si>
  <si>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</si>
  <si>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</si>
  <si>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</si>
  <si>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</si>
  <si>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</si>
  <si>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</si>
  <si>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</si>
  <si>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</si>
  <si>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</si>
  <si>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</si>
  <si>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</si>
  <si>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</si>
  <si>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</si>
  <si>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</si>
  <si>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</si>
  <si>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</si>
  <si>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</si>
  <si>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</si>
  <si>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</si>
  <si>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</si>
  <si>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</si>
  <si>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</si>
  <si>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</si>
  <si>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</si>
  <si>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</si>
  <si>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</si>
  <si>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</si>
  <si>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</si>
  <si>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</si>
  <si>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</si>
  <si>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</si>
  <si>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</si>
  <si>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</si>
  <si>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</si>
  <si>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</si>
  <si>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</si>
  <si>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</si>
  <si>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</si>
  <si>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</si>
  <si>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</si>
  <si>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</si>
  <si>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</si>
  <si>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</si>
  <si>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</si>
  <si>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</si>
  <si>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</si>
  <si>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</si>
  <si>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</si>
  <si>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</si>
  <si>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</si>
  <si>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</si>
  <si>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</si>
  <si>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</si>
  <si>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</si>
  <si>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</si>
  <si>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</si>
  <si>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</si>
  <si>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</si>
  <si>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</si>
  <si>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</si>
  <si>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</si>
  <si>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</si>
  <si>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</si>
  <si>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</si>
  <si>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</si>
  <si>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</si>
  <si>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</si>
  <si>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</si>
  <si>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</si>
  <si>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</si>
  <si>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</si>
  <si>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</si>
  <si>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</si>
  <si>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</si>
  <si>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</si>
  <si>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</si>
  <si>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</si>
  <si>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</si>
  <si>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</si>
  <si>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</si>
  <si>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</si>
  <si>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</si>
  <si>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</si>
  <si>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</si>
  <si>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</si>
  <si>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</si>
  <si>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</si>
  <si>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</si>
  <si>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</si>
  <si>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</si>
  <si>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</si>
  <si>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</si>
  <si>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</si>
  <si>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</si>
  <si>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</si>
  <si>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</si>
  <si>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</si>
  <si>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</si>
  <si>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</si>
  <si>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</si>
  <si>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</si>
  <si>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</si>
  <si>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</si>
  <si>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</si>
  <si>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</si>
  <si>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</si>
  <si>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</si>
  <si>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</si>
  <si>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</si>
  <si>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</si>
  <si>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</si>
  <si>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</si>
  <si>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</si>
  <si>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</si>
  <si>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</si>
  <si>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</si>
  <si>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</si>
  <si>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</si>
  <si>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</si>
  <si>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</si>
  <si>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</si>
  <si>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</si>
  <si>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</si>
  <si>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</si>
  <si>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</si>
  <si>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</si>
  <si>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</si>
  <si>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</si>
  <si>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</si>
  <si>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</si>
  <si>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</si>
  <si>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</si>
  <si>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</si>
  <si>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</si>
  <si>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</si>
  <si>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</si>
  <si>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</si>
  <si>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</si>
  <si>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</si>
  <si>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</si>
  <si>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</si>
  <si>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</si>
  <si>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</si>
  <si>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</si>
  <si>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</si>
  <si>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</si>
  <si>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</si>
  <si>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</si>
  <si>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</si>
  <si>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</si>
  <si>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</si>
  <si>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</si>
  <si>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</si>
  <si>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</si>
  <si>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</si>
  <si>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</si>
  <si>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</si>
  <si>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</si>
  <si>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</si>
  <si>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</si>
  <si>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</si>
  <si>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</si>
  <si>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</si>
  <si>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</si>
  <si>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</si>
  <si>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</si>
  <si>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</si>
  <si>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</si>
  <si>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</si>
  <si>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</si>
  <si>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</si>
  <si>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</si>
  <si>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</si>
  <si>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</si>
  <si>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</si>
  <si>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</si>
  <si>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</si>
  <si>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</si>
  <si>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</si>
  <si>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</si>
  <si>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</si>
  <si>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</si>
  <si>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</si>
  <si>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</si>
  <si>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</si>
  <si>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</si>
  <si>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</si>
  <si>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</si>
  <si>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</si>
  <si>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</si>
  <si>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</si>
  <si>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</si>
  <si>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</si>
  <si>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</si>
  <si>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</si>
  <si>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</si>
  <si>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</si>
  <si>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</si>
  <si>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</si>
  <si>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</si>
  <si>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</si>
  <si>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</si>
  <si>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</si>
  <si>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</si>
  <si>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</si>
  <si>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</si>
  <si>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</si>
  <si>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</si>
  <si>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</si>
  <si>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</si>
  <si>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</si>
  <si>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</si>
  <si>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</si>
  <si>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</si>
  <si>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</si>
  <si>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</si>
  <si>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</si>
  <si>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</si>
  <si>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</si>
  <si>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</si>
  <si>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</si>
  <si>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</si>
  <si>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</si>
  <si>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</si>
  <si>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</si>
  <si>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</si>
  <si>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</si>
  <si>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</si>
  <si>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</si>
  <si>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</si>
  <si>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</si>
  <si>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</si>
  <si>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</si>
  <si>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</si>
  <si>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</si>
  <si>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</si>
  <si>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</si>
  <si>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</si>
  <si>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</si>
  <si>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</si>
  <si>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</si>
  <si>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</si>
  <si>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</si>
  <si>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</si>
  <si>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</si>
  <si>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</si>
  <si>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</si>
  <si>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</si>
  <si>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</si>
  <si>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</si>
  <si>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</si>
  <si>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</si>
  <si>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</si>
  <si>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</si>
  <si>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</si>
  <si>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</si>
  <si>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</si>
  <si>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</si>
  <si>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</si>
  <si>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</si>
  <si>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</si>
  <si>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</si>
  <si>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</si>
  <si>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</si>
  <si>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</si>
  <si>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</si>
  <si>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</si>
  <si>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</si>
  <si>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</si>
  <si>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</si>
  <si>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</si>
  <si>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</si>
  <si>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</si>
  <si>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</si>
  <si>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</si>
  <si>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</si>
  <si>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</si>
  <si>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</si>
  <si>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</si>
  <si>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</si>
  <si>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</si>
  <si>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</si>
  <si>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</si>
  <si>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</si>
  <si>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</si>
  <si>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</si>
  <si>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</si>
  <si>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</si>
  <si>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</si>
  <si>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</si>
  <si>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</si>
  <si>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</si>
  <si>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</si>
  <si>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</si>
  <si>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</si>
  <si>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</si>
  <si>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</si>
  <si>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</si>
  <si>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</si>
  <si>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</si>
  <si>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</si>
  <si>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</si>
  <si>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</si>
  <si>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</si>
  <si>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</si>
  <si>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</si>
  <si>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</si>
  <si>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</si>
  <si>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</si>
  <si>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</si>
  <si>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</si>
  <si>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</si>
  <si>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</si>
  <si>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</si>
  <si>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</si>
  <si>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</si>
  <si>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</si>
  <si>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</si>
  <si>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</si>
  <si>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</si>
  <si>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</si>
  <si>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</si>
  <si>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</si>
  <si>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</si>
  <si>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</si>
  <si>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</si>
  <si>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</si>
  <si>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</si>
  <si>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</si>
  <si>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</si>
  <si>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</si>
  <si>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</si>
  <si>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</si>
  <si>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</si>
  <si>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</si>
  <si>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</si>
  <si>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</si>
  <si>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</si>
  <si>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</si>
  <si>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</si>
  <si>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</si>
  <si>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</si>
  <si>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</si>
  <si>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</si>
  <si>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</si>
  <si>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</si>
  <si>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</si>
  <si>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</si>
  <si>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</si>
  <si>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</si>
  <si>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</si>
  <si>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</si>
  <si>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</si>
  <si>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</si>
  <si>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</si>
  <si>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</si>
  <si>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</si>
  <si>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</si>
  <si>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</si>
  <si>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</si>
  <si>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</si>
  <si>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</si>
  <si>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</si>
  <si>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</si>
  <si>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</si>
  <si>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</si>
  <si>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</si>
  <si>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</si>
  <si>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</si>
  <si>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</si>
  <si>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</si>
  <si>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</si>
  <si>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</si>
  <si>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</si>
  <si>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</si>
  <si>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</si>
  <si>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</si>
  <si>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</si>
  <si>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</si>
  <si>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</si>
  <si>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</si>
  <si>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</si>
  <si>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</si>
  <si>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</si>
  <si>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</si>
  <si>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</si>
  <si>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</si>
  <si>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</si>
  <si>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</si>
  <si>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</si>
  <si>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</si>
  <si>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</si>
  <si>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</si>
  <si>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</si>
  <si>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</si>
  <si>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</si>
  <si>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</si>
  <si>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</si>
  <si>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</si>
  <si>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</si>
  <si>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</si>
  <si>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</si>
  <si>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</si>
  <si>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</si>
  <si>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</si>
  <si>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</si>
  <si>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</si>
  <si>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</si>
  <si>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</si>
  <si>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</si>
  <si>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</si>
  <si>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</si>
  <si>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</si>
  <si>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</si>
  <si>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</si>
  <si>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</si>
  <si>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</si>
  <si>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</si>
  <si>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</si>
  <si>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</si>
  <si>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</si>
  <si>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</si>
  <si>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</si>
  <si>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</si>
  <si>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</si>
  <si>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</si>
  <si>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</si>
  <si>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</si>
  <si>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</si>
  <si>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</si>
  <si>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</si>
  <si>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</si>
  <si>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</si>
  <si>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</si>
  <si>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</si>
  <si>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</si>
  <si>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</si>
  <si>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</si>
  <si>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</si>
  <si>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</si>
  <si>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</si>
  <si>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</si>
  <si>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</si>
  <si>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</si>
  <si>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</si>
  <si>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</si>
  <si>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</si>
  <si>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</si>
  <si>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</si>
  <si>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</si>
  <si>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</si>
  <si>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</si>
  <si>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</si>
  <si>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</si>
  <si>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</si>
  <si>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</si>
  <si>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</si>
  <si>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</si>
  <si>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</si>
  <si>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</si>
  <si>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</si>
  <si>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</si>
  <si>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</si>
  <si>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</si>
  <si>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</si>
  <si>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</si>
  <si>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</si>
  <si>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</si>
  <si>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</si>
  <si>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</si>
  <si>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</si>
  <si>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</si>
  <si>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</si>
  <si>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</si>
  <si>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</si>
  <si>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</si>
  <si>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</si>
  <si>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</si>
  <si>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</si>
  <si>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</si>
  <si>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</si>
  <si>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</si>
  <si>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</si>
  <si>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</si>
  <si>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</si>
  <si>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</si>
  <si>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</si>
  <si>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</si>
  <si>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</si>
  <si>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</si>
  <si>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</si>
  <si>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</si>
  <si>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</si>
  <si>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</si>
  <si>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</si>
  <si>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</si>
  <si>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</si>
  <si>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</si>
  <si>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</si>
  <si>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</si>
  <si>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</si>
  <si>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</si>
  <si>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</si>
  <si>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</si>
  <si>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</si>
  <si>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</si>
  <si>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</si>
  <si>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</si>
  <si>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</si>
  <si>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</si>
  <si>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</si>
  <si>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</si>
  <si>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</si>
  <si>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</si>
  <si>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</si>
  <si>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</si>
  <si>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</si>
  <si>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</si>
  <si>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</si>
  <si>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</si>
  <si>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</si>
  <si>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</si>
  <si>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</si>
  <si>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</si>
  <si>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</si>
  <si>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</si>
  <si>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</si>
  <si>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</si>
  <si>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</si>
  <si>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</si>
  <si>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</si>
  <si>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</si>
  <si>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</si>
  <si>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</si>
  <si>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</si>
  <si>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</si>
  <si>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</si>
  <si>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</si>
  <si>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</si>
  <si>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</si>
  <si>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</si>
  <si>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</si>
  <si>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</si>
  <si>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</si>
  <si>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</si>
  <si>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</si>
  <si>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</si>
  <si>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</si>
  <si>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</si>
  <si>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</si>
  <si>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</si>
  <si>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</si>
  <si>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</si>
  <si>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</si>
  <si>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</si>
  <si>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</si>
  <si>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</si>
  <si>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</si>
  <si>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</si>
  <si>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</si>
  <si>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</si>
  <si>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</si>
  <si>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</si>
  <si>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</si>
  <si>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</si>
  <si>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</si>
  <si>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</si>
  <si>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</si>
  <si>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</si>
  <si>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</si>
  <si>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</si>
  <si>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</si>
  <si>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</si>
  <si>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</si>
  <si>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</si>
  <si>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</si>
  <si>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</si>
  <si>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</si>
  <si>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</si>
  <si>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</si>
  <si>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</si>
  <si>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</si>
  <si>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</si>
  <si>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</si>
  <si>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</si>
  <si>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</si>
  <si>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</si>
  <si>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</si>
  <si>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</si>
  <si>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</si>
  <si>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</si>
  <si>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</si>
  <si>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</si>
  <si>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</si>
  <si>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</si>
  <si>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</si>
  <si>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</si>
  <si>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</si>
  <si>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</si>
  <si>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</si>
  <si>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</si>
  <si>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</si>
  <si>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</si>
  <si>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</si>
  <si>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</si>
  <si>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</si>
  <si>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</si>
  <si>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</si>
  <si>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</si>
  <si>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</si>
  <si>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</si>
  <si>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</si>
  <si>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</si>
  <si>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</si>
  <si>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</si>
  <si>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</si>
  <si>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</si>
  <si>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</si>
  <si>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</si>
  <si>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</si>
  <si>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</si>
  <si>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</si>
  <si>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</si>
  <si>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</si>
  <si>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</si>
  <si>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</si>
  <si>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</si>
  <si>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</si>
  <si>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</si>
  <si>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</si>
  <si>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</si>
  <si>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</si>
  <si>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</si>
  <si>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</si>
  <si>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</si>
  <si>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</si>
  <si>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</si>
  <si>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</si>
  <si>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</si>
  <si>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</si>
  <si>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</si>
  <si>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</si>
  <si>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</si>
  <si>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</si>
  <si>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</si>
  <si>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</si>
  <si>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</si>
  <si>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</si>
  <si>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</si>
  <si>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</si>
  <si>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</si>
  <si>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</si>
  <si>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</si>
  <si>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</si>
  <si>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</si>
  <si>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</si>
  <si>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</si>
  <si>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</si>
  <si>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</si>
  <si>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</si>
  <si>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</si>
  <si>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</si>
  <si>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</si>
  <si>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</si>
  <si>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</si>
  <si>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</si>
  <si>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</si>
  <si>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</si>
  <si>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</si>
  <si>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</si>
  <si>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</si>
  <si>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</si>
  <si>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</si>
  <si>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</si>
  <si>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</si>
  <si>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</si>
  <si>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</si>
  <si>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</si>
  <si>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</si>
  <si>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</si>
  <si>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</si>
  <si>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</si>
  <si>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</si>
  <si>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</si>
  <si>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</si>
  <si>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</si>
  <si>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</si>
  <si>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</si>
  <si>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</si>
  <si>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</si>
  <si>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</si>
  <si>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</si>
  <si>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</si>
  <si>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</si>
  <si>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</si>
  <si>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</si>
  <si>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</si>
  <si>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</si>
  <si>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</si>
  <si>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</si>
  <si>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</si>
  <si>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</si>
  <si>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</si>
  <si>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</si>
  <si>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</si>
  <si>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</si>
  <si>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</si>
  <si>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</si>
  <si>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</si>
  <si>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</si>
  <si>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</si>
  <si>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</si>
  <si>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</si>
  <si>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</si>
  <si>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</si>
  <si>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</si>
  <si>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</si>
  <si>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</si>
  <si>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</si>
  <si>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</si>
  <si>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</si>
  <si>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</si>
  <si>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</si>
  <si>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</si>
  <si>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</si>
  <si>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</si>
  <si>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</si>
  <si>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</si>
  <si>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</si>
  <si>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</si>
  <si>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</si>
  <si>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</si>
  <si>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</si>
  <si>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</si>
  <si>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</si>
  <si>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</si>
  <si>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</si>
  <si>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</si>
  <si>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</si>
  <si>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</si>
  <si>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</si>
  <si>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</si>
  <si>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</si>
  <si>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</si>
  <si>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</si>
  <si>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</si>
  <si>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</si>
  <si>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</si>
  <si>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</si>
  <si>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</si>
  <si>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</si>
  <si>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</si>
  <si>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</si>
  <si>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</si>
  <si>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</si>
  <si>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</si>
  <si>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</si>
  <si>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</si>
  <si>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</si>
  <si>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</si>
  <si>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</si>
  <si>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</si>
  <si>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</si>
  <si>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</si>
  <si>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</si>
  <si>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</si>
  <si>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</si>
  <si>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</si>
  <si>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</si>
  <si>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</si>
  <si>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</si>
  <si>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</si>
  <si>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</si>
  <si>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</si>
  <si>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</si>
  <si>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</si>
  <si>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</si>
  <si>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</si>
  <si>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</si>
  <si>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</si>
  <si>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</si>
  <si>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</si>
  <si>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</si>
  <si>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</si>
  <si>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</si>
  <si>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</si>
  <si>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</si>
  <si>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</si>
  <si>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</si>
  <si>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</si>
  <si>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</si>
  <si>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</si>
  <si>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</si>
  <si>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</si>
  <si>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</si>
  <si>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</si>
  <si>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</si>
  <si>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</si>
  <si>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</si>
  <si>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</si>
  <si>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</si>
  <si>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</si>
  <si>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</si>
  <si>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</si>
  <si>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</si>
  <si>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</si>
  <si>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</si>
  <si>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</si>
  <si>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</si>
  <si>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</si>
  <si>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</si>
  <si>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</si>
  <si>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</si>
  <si>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</si>
  <si>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</si>
  <si>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</si>
  <si>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</si>
  <si>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</si>
  <si>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</si>
  <si>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</si>
  <si>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</si>
  <si>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</si>
  <si>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</si>
  <si>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</si>
  <si>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</si>
  <si>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</si>
  <si>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</si>
  <si>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</si>
  <si>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</si>
  <si>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</si>
  <si>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</si>
  <si>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</si>
  <si>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</si>
  <si>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</si>
  <si>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</si>
  <si>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</si>
  <si>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</si>
  <si>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</si>
  <si>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</si>
  <si>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</si>
  <si>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</si>
  <si>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</si>
  <si>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</si>
  <si>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</si>
  <si>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</si>
  <si>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</si>
  <si>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</si>
  <si>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</si>
  <si>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</si>
  <si>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</si>
  <si>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</si>
  <si>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</si>
  <si>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</si>
  <si>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</si>
  <si>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</si>
  <si>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</si>
  <si>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</si>
  <si>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</si>
  <si>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</si>
  <si>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</si>
  <si>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</si>
  <si>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</si>
  <si>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</si>
  <si>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</si>
  <si>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</si>
  <si>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</si>
  <si>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</si>
  <si>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</si>
  <si>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</si>
  <si>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</si>
  <si>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</si>
  <si>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</si>
  <si>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</si>
  <si>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</si>
  <si>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</si>
  <si>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</si>
  <si>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</si>
  <si>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</si>
  <si>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</si>
  <si>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</si>
  <si>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</si>
  <si>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</si>
  <si>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</si>
  <si>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</si>
  <si>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</si>
  <si>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</si>
  <si>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</si>
  <si>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</si>
  <si>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</si>
  <si>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</si>
  <si>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</si>
  <si>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</si>
  <si>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</si>
  <si>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</si>
  <si>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</si>
  <si>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</si>
  <si>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</si>
  <si>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</si>
  <si>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</si>
  <si>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</si>
  <si>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</si>
  <si>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</si>
  <si>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</si>
  <si>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</si>
  <si>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</si>
  <si>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</si>
  <si>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</si>
  <si>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</si>
  <si>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</si>
  <si>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</si>
  <si>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</si>
  <si>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</si>
  <si>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</si>
  <si>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</si>
  <si>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</si>
  <si>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</si>
  <si>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</si>
  <si>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</si>
  <si>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</si>
  <si>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</si>
  <si>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</si>
  <si>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</si>
  <si>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</si>
  <si>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</si>
  <si>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</si>
  <si>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</si>
  <si>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</si>
  <si>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</si>
  <si>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</si>
  <si>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</si>
  <si>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</si>
  <si>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</si>
  <si>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</si>
  <si>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</si>
  <si>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</si>
  <si>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</si>
  <si>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</si>
  <si>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</si>
  <si>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</si>
  <si>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</si>
  <si>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</si>
  <si>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</si>
  <si>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</si>
  <si>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</si>
  <si>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</si>
  <si>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</si>
  <si>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</si>
  <si>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</si>
  <si>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</si>
  <si>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</si>
  <si>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</si>
  <si>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</si>
  <si>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</si>
  <si>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</si>
  <si>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</si>
  <si>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</si>
  <si>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</si>
  <si>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</si>
  <si>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</si>
  <si>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</si>
  <si>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</si>
  <si>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</si>
  <si>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</si>
  <si>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</si>
  <si>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</si>
  <si>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</si>
  <si>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</si>
  <si>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</si>
  <si>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</si>
  <si>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</si>
  <si>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</si>
  <si>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</si>
  <si>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</si>
  <si>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</si>
  <si>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</si>
  <si>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</si>
  <si>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</si>
  <si>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</si>
  <si>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</si>
  <si>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</si>
  <si>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</si>
  <si>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</si>
  <si>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</si>
  <si>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</si>
  <si>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</si>
  <si>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</si>
  <si>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</si>
  <si>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</si>
  <si>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</si>
  <si>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</si>
  <si>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</si>
  <si>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</si>
  <si>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</si>
  <si>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</si>
  <si>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</si>
  <si>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</si>
  <si>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</si>
  <si>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</si>
  <si>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</si>
  <si>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</si>
  <si>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</si>
  <si>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</si>
  <si>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</si>
  <si>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</si>
  <si>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</si>
  <si>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</si>
  <si>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</si>
  <si>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</si>
  <si>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</si>
  <si>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</si>
  <si>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</si>
  <si>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</si>
  <si>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</si>
  <si>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</si>
  <si>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</si>
  <si>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</si>
  <si>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</si>
  <si>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</si>
  <si>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</si>
  <si>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</si>
  <si>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</si>
  <si>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</si>
  <si>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</si>
  <si>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</si>
  <si>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</si>
  <si>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</si>
  <si>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</si>
  <si>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</si>
  <si>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</si>
  <si>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</si>
  <si>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</si>
  <si>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</si>
  <si>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</si>
  <si>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</si>
  <si>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</si>
  <si>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</si>
  <si>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</si>
  <si>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</si>
  <si>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</si>
  <si>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</si>
  <si>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</si>
  <si>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</si>
  <si>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</si>
  <si>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</si>
  <si>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</si>
  <si>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</si>
  <si>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</si>
  <si>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</si>
  <si>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</si>
  <si>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</si>
  <si>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</si>
  <si>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</si>
  <si>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</si>
  <si>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</si>
  <si>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</si>
  <si>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</si>
  <si>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</si>
  <si>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</si>
  <si>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</si>
  <si>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</si>
  <si>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</si>
  <si>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</si>
  <si>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</si>
  <si>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</si>
  <si>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</si>
  <si>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</si>
  <si>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</si>
  <si>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</si>
  <si>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</si>
  <si>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</si>
  <si>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</si>
  <si>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</si>
  <si>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</si>
  <si>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</si>
  <si>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</si>
  <si>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</si>
  <si>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</si>
  <si>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</si>
  <si>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</si>
  <si>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</si>
  <si>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</si>
  <si>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</si>
  <si>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</si>
  <si>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</si>
  <si>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</si>
  <si>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</si>
  <si>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</si>
  <si>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</si>
  <si>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</si>
  <si>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</si>
  <si>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</si>
  <si>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</si>
  <si>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</si>
  <si>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</si>
  <si>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</si>
  <si>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</si>
  <si>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</si>
  <si>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</si>
  <si>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</si>
  <si>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</si>
  <si>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</si>
  <si>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</si>
  <si>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</si>
  <si>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</si>
  <si>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</si>
  <si>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</si>
  <si>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</si>
  <si>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</si>
  <si>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</si>
  <si>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</si>
  <si>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</si>
  <si>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</si>
  <si>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</si>
  <si>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</si>
  <si>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</si>
  <si>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</si>
  <si>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</si>
  <si>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</si>
  <si>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</si>
  <si>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</si>
  <si>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</si>
  <si>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</si>
  <si>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</si>
  <si>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</si>
  <si>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</si>
  <si>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</si>
  <si>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</si>
  <si>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</si>
  <si>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</si>
  <si>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</si>
  <si>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</si>
  <si>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</si>
  <si>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</si>
  <si>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</si>
  <si>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</si>
  <si>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</si>
  <si>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</si>
  <si>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</si>
  <si>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</si>
  <si>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</si>
  <si>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</si>
  <si>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</si>
  <si>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</si>
  <si>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</si>
  <si>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</si>
  <si>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</si>
  <si>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</si>
  <si>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</si>
  <si>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</si>
  <si>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</si>
  <si>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</si>
  <si>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</si>
  <si>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</si>
  <si>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</si>
  <si>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</si>
  <si>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</si>
  <si>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</si>
  <si>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</si>
  <si>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</si>
  <si>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</si>
  <si>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</si>
  <si>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</si>
  <si>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</si>
  <si>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</si>
  <si>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</si>
  <si>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</si>
  <si>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</si>
  <si>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</si>
  <si>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</si>
  <si>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</si>
  <si>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</si>
  <si>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</si>
  <si>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</si>
  <si>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</si>
  <si>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</si>
  <si>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</si>
  <si>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</si>
  <si>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</si>
  <si>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</si>
  <si>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</si>
  <si>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</si>
  <si>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</si>
  <si>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</si>
  <si>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</si>
  <si>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</si>
  <si>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</si>
  <si>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</si>
  <si>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</si>
  <si>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</si>
  <si>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</si>
  <si>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</si>
  <si>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</si>
  <si>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</si>
  <si>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</si>
  <si>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</si>
  <si>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</si>
  <si>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</si>
  <si>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</si>
  <si>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</si>
  <si>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</si>
  <si>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</si>
  <si>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</si>
  <si>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</si>
  <si>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</si>
  <si>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</si>
  <si>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</si>
  <si>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</si>
  <si>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</si>
  <si>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</si>
  <si>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</si>
  <si>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</si>
  <si>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</si>
  <si>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</si>
  <si>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</si>
  <si>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</si>
  <si>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</si>
  <si>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</si>
  <si>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</si>
  <si>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</si>
  <si>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</si>
  <si>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</si>
  <si>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</si>
  <si>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</si>
  <si>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</si>
  <si>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</si>
  <si>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</si>
  <si>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</si>
  <si>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</si>
  <si>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</si>
  <si>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</si>
  <si>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</si>
  <si>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</si>
  <si>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</si>
  <si>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</si>
  <si>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</si>
  <si>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</si>
  <si>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</si>
  <si>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</si>
  <si>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</si>
  <si>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</si>
  <si>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</si>
  <si>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</si>
  <si>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</si>
  <si>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</si>
  <si>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</si>
  <si>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</si>
  <si>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</si>
  <si>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</si>
  <si>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</si>
  <si>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</si>
  <si>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</si>
  <si>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</si>
  <si>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</si>
  <si>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</si>
  <si>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</si>
  <si>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</si>
  <si>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</si>
  <si>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</si>
  <si>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</si>
  <si>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</si>
  <si>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</si>
  <si>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</si>
  <si>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</si>
  <si>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</si>
  <si>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</si>
  <si>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</si>
  <si>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</si>
  <si>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</si>
  <si>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</si>
  <si>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</si>
  <si>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</si>
  <si>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</si>
  <si>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</si>
  <si>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</si>
  <si>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</si>
  <si>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</si>
  <si>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</si>
  <si>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</si>
  <si>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</si>
  <si>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</si>
  <si>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</si>
  <si>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</si>
  <si>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</si>
  <si>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</si>
  <si>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西</t>
  </si>
  <si>
    <t>西</t>
    <phoneticPr fontId="134" type="noConversion"/>
  </si>
  <si>
    <r>
      <t>低/</t>
    </r>
    <r>
      <rPr>
        <sz val="11"/>
        <color theme="1"/>
        <rFont val="宋体"/>
        <family val="3"/>
        <charset val="134"/>
        <scheme val="minor"/>
      </rPr>
      <t>6</t>
    </r>
    <phoneticPr fontId="134" type="noConversion"/>
  </si>
  <si>
    <t>普通装修</t>
  </si>
  <si>
    <t>普通装修</t>
    <phoneticPr fontId="134" type="noConversion"/>
  </si>
  <si>
    <t>南北</t>
    <phoneticPr fontId="134" type="noConversion"/>
  </si>
  <si>
    <r>
      <t>中/</t>
    </r>
    <r>
      <rPr>
        <sz val="11"/>
        <color theme="1"/>
        <rFont val="宋体"/>
        <family val="3"/>
        <charset val="134"/>
        <scheme val="minor"/>
      </rPr>
      <t>6</t>
    </r>
    <phoneticPr fontId="134" type="noConversion"/>
  </si>
  <si>
    <t>南</t>
    <phoneticPr fontId="134" type="noConversion"/>
  </si>
  <si>
    <t>低/6</t>
    <phoneticPr fontId="134" type="noConversion"/>
  </si>
  <si>
    <t>中/6</t>
    <phoneticPr fontId="134" type="noConversion"/>
  </si>
  <si>
    <t>精装修</t>
    <phoneticPr fontId="134" type="noConversion"/>
  </si>
  <si>
    <t>东</t>
  </si>
  <si>
    <t>东</t>
    <phoneticPr fontId="134" type="noConversion"/>
  </si>
  <si>
    <r>
      <t>高/</t>
    </r>
    <r>
      <rPr>
        <sz val="11"/>
        <color theme="1"/>
        <rFont val="宋体"/>
        <family val="3"/>
        <charset val="134"/>
        <scheme val="minor"/>
      </rPr>
      <t>6</t>
    </r>
    <phoneticPr fontId="134" type="noConversion"/>
  </si>
  <si>
    <t>高/6</t>
    <phoneticPr fontId="134" type="noConversion"/>
  </si>
  <si>
    <t>loft</t>
    <phoneticPr fontId="134" type="noConversion"/>
  </si>
  <si>
    <t>西北</t>
    <phoneticPr fontId="134" type="noConversion"/>
  </si>
  <si>
    <t>链家租金成交</t>
    <phoneticPr fontId="134" type="noConversion"/>
  </si>
  <si>
    <t>北京市海淀区阜石路甲69号院11号楼4层二单元416（59.65㎡） - 司法拍卖 - 阿里资产</t>
  </si>
  <si>
    <r>
      <t>4</t>
    </r>
    <r>
      <rPr>
        <sz val="11"/>
        <color theme="1"/>
        <rFont val="宋体"/>
        <family val="3"/>
        <charset val="134"/>
        <scheme val="minor"/>
      </rPr>
      <t>0轮竞价</t>
    </r>
    <phoneticPr fontId="134" type="noConversion"/>
  </si>
  <si>
    <t>成交总价</t>
    <phoneticPr fontId="134" type="noConversion"/>
  </si>
  <si>
    <t>成交单价</t>
    <phoneticPr fontId="134" type="noConversion"/>
  </si>
  <si>
    <t>成交日期</t>
    <phoneticPr fontId="134" type="noConversion"/>
  </si>
  <si>
    <t>评估总价</t>
    <phoneticPr fontId="134" type="noConversion"/>
  </si>
  <si>
    <t>评估单价</t>
    <phoneticPr fontId="134" type="noConversion"/>
  </si>
  <si>
    <t>二拍成交</t>
    <phoneticPr fontId="134" type="noConversion"/>
  </si>
  <si>
    <t xml:space="preserve"> 北京市海淀区阜石路甲69号院7号楼1层113</t>
    <phoneticPr fontId="134" type="noConversion"/>
  </si>
  <si>
    <t>北京市海淀区阜石路甲69号院7号楼1层113（55.56㎡） - 司法拍卖 - 阿里资产</t>
  </si>
  <si>
    <t>一拍成交</t>
    <phoneticPr fontId="134" type="noConversion"/>
  </si>
  <si>
    <r>
      <t>1</t>
    </r>
    <r>
      <rPr>
        <sz val="11"/>
        <color theme="1"/>
        <rFont val="宋体"/>
        <family val="3"/>
        <charset val="134"/>
        <scheme val="minor"/>
      </rPr>
      <t>17轮竞价</t>
    </r>
    <phoneticPr fontId="134" type="noConversion"/>
  </si>
  <si>
    <t>北京市海淀区阜石路甲69号院13号楼3层312</t>
  </si>
  <si>
    <t>北京市海淀区阜石路甲69号院13号楼3层312</t>
    <phoneticPr fontId="134" type="noConversion"/>
  </si>
  <si>
    <t>1轮报价</t>
    <phoneticPr fontId="134" type="noConversion"/>
  </si>
  <si>
    <t>北京市海淀区阜石路甲69号院11号楼6层一单元616</t>
  </si>
  <si>
    <t>北京市海淀区阜石路甲69号院11号楼6层一单元616</t>
    <phoneticPr fontId="134" type="noConversion"/>
  </si>
  <si>
    <t>55轮竞价</t>
    <phoneticPr fontId="134" type="noConversion"/>
  </si>
  <si>
    <t>北京市海淀区阜石路甲69号院11号楼4层二单元416</t>
    <phoneticPr fontId="134" type="noConversion"/>
  </si>
  <si>
    <r>
      <t>顶/</t>
    </r>
    <r>
      <rPr>
        <sz val="11"/>
        <color theme="1"/>
        <rFont val="宋体"/>
        <family val="3"/>
        <charset val="134"/>
        <scheme val="minor"/>
      </rPr>
      <t>6</t>
    </r>
    <phoneticPr fontId="134" type="noConversion"/>
  </si>
  <si>
    <t>顶/6</t>
    <phoneticPr fontId="134" type="noConversion"/>
  </si>
  <si>
    <t>西南</t>
  </si>
  <si>
    <t>西南</t>
    <phoneticPr fontId="134" type="noConversion"/>
  </si>
  <si>
    <t>东北</t>
    <phoneticPr fontId="134" type="noConversion"/>
  </si>
  <si>
    <t>底/6</t>
    <phoneticPr fontId="134" type="noConversion"/>
  </si>
  <si>
    <t>蝴蝶指数成交</t>
    <phoneticPr fontId="134" type="noConversion"/>
  </si>
  <si>
    <t>核定资产</t>
  </si>
  <si>
    <t>房地产市场价值</t>
  </si>
  <si>
    <t>北京市</t>
  </si>
  <si>
    <t>自然人</t>
  </si>
  <si>
    <t>地上</t>
  </si>
  <si>
    <t>是</t>
  </si>
  <si>
    <t>商业</t>
    <phoneticPr fontId="134" type="noConversion"/>
  </si>
  <si>
    <t>信息服务用房</t>
  </si>
  <si>
    <t>信息服务用房</t>
    <phoneticPr fontId="7" type="noConversion"/>
  </si>
  <si>
    <t>跃层商住</t>
  </si>
  <si>
    <t>跃层商住</t>
    <phoneticPr fontId="16" type="noConversion"/>
  </si>
  <si>
    <t>成新度</t>
  </si>
  <si>
    <t>收益法 (元)</t>
  </si>
  <si>
    <t>押一</t>
  </si>
  <si>
    <t>钢混</t>
  </si>
  <si>
    <t>非生产用房</t>
  </si>
  <si>
    <t>否</t>
  </si>
  <si>
    <t>西山国际城</t>
    <phoneticPr fontId="3" type="noConversion"/>
  </si>
  <si>
    <t>塔楼</t>
  </si>
  <si>
    <t>塔楼</t>
    <phoneticPr fontId="24" type="noConversion"/>
  </si>
  <si>
    <t>钢混</t>
    <phoneticPr fontId="24" type="noConversion"/>
  </si>
  <si>
    <t>普通装修</t>
    <phoneticPr fontId="24" type="noConversion"/>
  </si>
  <si>
    <t>物业公司管理</t>
    <phoneticPr fontId="24" type="noConversion"/>
  </si>
  <si>
    <t>售价</t>
  </si>
  <si>
    <t>东</t>
    <phoneticPr fontId="24" type="noConversion"/>
  </si>
  <si>
    <t>西</t>
    <phoneticPr fontId="24" type="noConversion"/>
  </si>
  <si>
    <t>比较法-住宅</t>
  </si>
  <si>
    <t>单套模式</t>
  </si>
  <si>
    <t>租金</t>
  </si>
  <si>
    <t>楼层</t>
    <phoneticPr fontId="134" type="noConversion"/>
  </si>
  <si>
    <r>
      <rPr>
        <sz val="11"/>
        <color indexed="8"/>
        <rFont val="宋体"/>
        <family val="3"/>
        <charset val="134"/>
      </rPr>
      <t>底</t>
    </r>
    <r>
      <rPr>
        <sz val="11"/>
        <color indexed="8"/>
        <rFont val="Arial"/>
        <family val="2"/>
      </rPr>
      <t>/6</t>
    </r>
    <phoneticPr fontId="134" type="noConversion"/>
  </si>
  <si>
    <r>
      <rPr>
        <sz val="11"/>
        <color indexed="8"/>
        <rFont val="宋体"/>
        <family val="3"/>
        <charset val="134"/>
      </rPr>
      <t>顶</t>
    </r>
    <r>
      <rPr>
        <sz val="11"/>
        <color indexed="8"/>
        <rFont val="Arial"/>
        <family val="2"/>
      </rPr>
      <t>/6</t>
    </r>
    <phoneticPr fontId="134" type="noConversion"/>
  </si>
  <si>
    <r>
      <rPr>
        <sz val="11"/>
        <color indexed="8"/>
        <rFont val="宋体"/>
        <family val="3"/>
        <charset val="134"/>
      </rPr>
      <t>高</t>
    </r>
    <r>
      <rPr>
        <sz val="11"/>
        <color indexed="8"/>
        <rFont val="Arial"/>
        <family val="2"/>
      </rPr>
      <t>/6</t>
    </r>
    <phoneticPr fontId="134" type="noConversion"/>
  </si>
  <si>
    <r>
      <rPr>
        <sz val="11"/>
        <color indexed="8"/>
        <rFont val="宋体"/>
        <family val="3"/>
        <charset val="134"/>
      </rPr>
      <t>中</t>
    </r>
    <r>
      <rPr>
        <sz val="11"/>
        <color indexed="8"/>
        <rFont val="Arial"/>
        <family val="2"/>
      </rPr>
      <t>/6</t>
    </r>
    <phoneticPr fontId="134" type="noConversion"/>
  </si>
  <si>
    <r>
      <rPr>
        <sz val="11"/>
        <color indexed="8"/>
        <rFont val="宋体"/>
        <family val="3"/>
        <charset val="134"/>
      </rPr>
      <t>低</t>
    </r>
    <r>
      <rPr>
        <sz val="11"/>
        <color indexed="8"/>
        <rFont val="Arial"/>
        <family val="2"/>
      </rPr>
      <t>/6</t>
    </r>
    <phoneticPr fontId="134" type="noConversion"/>
  </si>
  <si>
    <t>精装修</t>
    <phoneticPr fontId="24" type="noConversion"/>
  </si>
  <si>
    <t>自定义容积率</t>
  </si>
  <si>
    <t>不临65条商业街</t>
  </si>
  <si>
    <t>与级别开发程度一致</t>
  </si>
  <si>
    <t>地价指数</t>
  </si>
  <si>
    <t>中心城区</t>
  </si>
  <si>
    <t>一般</t>
  </si>
  <si>
    <t>较好</t>
  </si>
  <si>
    <t>西南</t>
    <phoneticPr fontId="24" type="noConversion"/>
  </si>
  <si>
    <t>楼层</t>
    <phoneticPr fontId="24" type="noConversion"/>
  </si>
  <si>
    <r>
      <rPr>
        <sz val="11"/>
        <color indexed="8"/>
        <rFont val="宋体"/>
        <family val="3"/>
        <charset val="134"/>
      </rPr>
      <t>顶</t>
    </r>
    <r>
      <rPr>
        <sz val="11"/>
        <color indexed="8"/>
        <rFont val="Arial"/>
        <family val="2"/>
      </rPr>
      <t>/6</t>
    </r>
    <phoneticPr fontId="24" type="noConversion"/>
  </si>
  <si>
    <r>
      <rPr>
        <sz val="11"/>
        <color indexed="8"/>
        <rFont val="宋体"/>
        <family val="3"/>
        <charset val="134"/>
      </rPr>
      <t>高</t>
    </r>
    <r>
      <rPr>
        <sz val="11"/>
        <color indexed="8"/>
        <rFont val="Arial"/>
        <family val="2"/>
      </rPr>
      <t>/6</t>
    </r>
    <phoneticPr fontId="24" type="noConversion"/>
  </si>
  <si>
    <r>
      <rPr>
        <sz val="11"/>
        <color indexed="8"/>
        <rFont val="宋体"/>
        <family val="3"/>
        <charset val="134"/>
      </rPr>
      <t>低</t>
    </r>
    <r>
      <rPr>
        <sz val="11"/>
        <color indexed="8"/>
        <rFont val="Arial"/>
        <family val="2"/>
      </rPr>
      <t>/6</t>
    </r>
    <phoneticPr fontId="24" type="noConversion"/>
  </si>
  <si>
    <t>七通</t>
  </si>
  <si>
    <t>法拍</t>
    <phoneticPr fontId="134" type="noConversion"/>
  </si>
  <si>
    <t>业务用房</t>
    <phoneticPr fontId="134" type="noConversion"/>
  </si>
  <si>
    <t>信息服务用房</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</si>
</sst>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
      <sz val="11"/>
      <color rgb="FFFF0000"/>
      <name val="宋体"/>
      <family val="3"/>
      <charset val="134"/>
      <scheme val="minor"/>
    </font>
    <font>
      <sz val="11"/>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1" fillId="0" borderId="0" applyNumberFormat="0" applyFill="0" applyBorder="0" applyAlignment="0" applyProtection="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4" fontId="0" fillId="0" borderId="0" xfId="0" applyNumberFormat="1">
      <alignment vertical="center"/>
    </xf>
    <xf numFmtId="0" fontId="271" fillId="0" borderId="0" xfId="19">
      <alignment vertical="center"/>
    </xf>
    <xf numFmtId="14" fontId="95" fillId="0" borderId="0" xfId="0" applyNumberFormat="1" applyFont="1">
      <alignment vertical="center"/>
    </xf>
    <xf numFmtId="0" fontId="272" fillId="0" borderId="0" xfId="0" applyFont="1">
      <alignment vertical="center"/>
    </xf>
    <xf numFmtId="14" fontId="272" fillId="0" borderId="0" xfId="0" applyNumberFormat="1" applyFont="1">
      <alignment vertical="center"/>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273" fillId="0" borderId="44" xfId="0" applyFont="1" applyBorder="1" applyAlignment="1" applyProtection="1">
      <alignment horizontal="center" vertical="center" wrapText="1"/>
      <protection locked="0"/>
    </xf>
    <xf numFmtId="0" fontId="273" fillId="0" borderId="41" xfId="0" applyFont="1" applyBorder="1" applyAlignment="1" applyProtection="1">
      <alignment horizontal="center" vertical="center" wrapText="1"/>
      <protection locked="0"/>
    </xf>
    <xf numFmtId="49" fontId="273" fillId="0" borderId="41" xfId="0" applyNumberFormat="1" applyFont="1" applyBorder="1" applyAlignment="1" applyProtection="1">
      <alignment horizontal="center" vertical="center" wrapText="1"/>
      <protection locked="0"/>
    </xf>
    <xf numFmtId="49" fontId="273" fillId="0" borderId="7" xfId="0" applyNumberFormat="1" applyFont="1" applyBorder="1" applyAlignment="1" applyProtection="1">
      <alignment horizontal="center" vertical="center" wrapText="1"/>
      <protection locked="0"/>
    </xf>
    <xf numFmtId="0" fontId="95" fillId="5" borderId="0" xfId="0" applyFont="1" applyFill="1">
      <alignment vertical="center"/>
    </xf>
    <xf numFmtId="14" fontId="0" fillId="5" borderId="0" xfId="0" applyNumberFormat="1" applyFill="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20">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 name="超链接" xfId="19" builtinId="8"/>
  </cellStyles>
  <dxfs count="179">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24</xdr:col>
      <xdr:colOff>219075</xdr:colOff>
      <xdr:row>10</xdr:row>
      <xdr:rowOff>19050</xdr:rowOff>
    </xdr:from>
    <xdr:to>
      <xdr:col>35</xdr:col>
      <xdr:colOff>427656</xdr:colOff>
      <xdr:row>38</xdr:row>
      <xdr:rowOff>47021</xdr:rowOff>
    </xdr:to>
    <xdr:pic>
      <xdr:nvPicPr>
        <xdr:cNvPr id="2" name="图片 1">
          <a:extLst>
            <a:ext uri="{FF2B5EF4-FFF2-40B4-BE49-F238E27FC236}">
              <a16:creationId xmlns:a16="http://schemas.microsoft.com/office/drawing/2014/main" id="{3F24593C-D6C3-7DE3-05D4-BDADEEE7CF9C}"/>
            </a:ext>
          </a:extLst>
        </xdr:cNvPr>
        <xdr:cNvPicPr>
          <a:picLocks noChangeAspect="1"/>
        </xdr:cNvPicPr>
      </xdr:nvPicPr>
      <xdr:blipFill>
        <a:blip xmlns:r="http://schemas.openxmlformats.org/officeDocument/2006/relationships" r:embed="rId1"/>
        <a:stretch>
          <a:fillRect/>
        </a:stretch>
      </xdr:blipFill>
      <xdr:spPr>
        <a:xfrm>
          <a:off x="19707225" y="1733550"/>
          <a:ext cx="7752381" cy="4828571"/>
        </a:xfrm>
        <a:prstGeom prst="rect">
          <a:avLst/>
        </a:prstGeom>
      </xdr:spPr>
    </xdr:pic>
    <xdr:clientData/>
  </xdr:twoCellAnchor>
  <xdr:twoCellAnchor editAs="oneCell">
    <xdr:from>
      <xdr:col>24</xdr:col>
      <xdr:colOff>571500</xdr:colOff>
      <xdr:row>23</xdr:row>
      <xdr:rowOff>19050</xdr:rowOff>
    </xdr:from>
    <xdr:to>
      <xdr:col>34</xdr:col>
      <xdr:colOff>313500</xdr:colOff>
      <xdr:row>62</xdr:row>
      <xdr:rowOff>56309</xdr:rowOff>
    </xdr:to>
    <xdr:pic>
      <xdr:nvPicPr>
        <xdr:cNvPr id="3" name="图片 2">
          <a:extLst>
            <a:ext uri="{FF2B5EF4-FFF2-40B4-BE49-F238E27FC236}">
              <a16:creationId xmlns:a16="http://schemas.microsoft.com/office/drawing/2014/main" id="{CAA89B16-6F98-C7DE-156A-93E541C73039}"/>
            </a:ext>
          </a:extLst>
        </xdr:cNvPr>
        <xdr:cNvPicPr>
          <a:picLocks noChangeAspect="1"/>
        </xdr:cNvPicPr>
      </xdr:nvPicPr>
      <xdr:blipFill>
        <a:blip xmlns:r="http://schemas.openxmlformats.org/officeDocument/2006/relationships" r:embed="rId2"/>
        <a:stretch>
          <a:fillRect/>
        </a:stretch>
      </xdr:blipFill>
      <xdr:spPr>
        <a:xfrm>
          <a:off x="17992725" y="3962400"/>
          <a:ext cx="6600000" cy="6723809"/>
        </a:xfrm>
        <a:prstGeom prst="rect">
          <a:avLst/>
        </a:prstGeom>
      </xdr:spPr>
    </xdr:pic>
    <xdr:clientData/>
  </xdr:twoCellAnchor>
  <xdr:twoCellAnchor editAs="oneCell">
    <xdr:from>
      <xdr:col>18</xdr:col>
      <xdr:colOff>790575</xdr:colOff>
      <xdr:row>6</xdr:row>
      <xdr:rowOff>133350</xdr:rowOff>
    </xdr:from>
    <xdr:to>
      <xdr:col>25</xdr:col>
      <xdr:colOff>608998</xdr:colOff>
      <xdr:row>32</xdr:row>
      <xdr:rowOff>142317</xdr:rowOff>
    </xdr:to>
    <xdr:pic>
      <xdr:nvPicPr>
        <xdr:cNvPr id="4" name="图片 3">
          <a:extLst>
            <a:ext uri="{FF2B5EF4-FFF2-40B4-BE49-F238E27FC236}">
              <a16:creationId xmlns:a16="http://schemas.microsoft.com/office/drawing/2014/main" id="{248C902B-1E35-3138-C645-BC39F45771E2}"/>
            </a:ext>
          </a:extLst>
        </xdr:cNvPr>
        <xdr:cNvPicPr>
          <a:picLocks noChangeAspect="1"/>
        </xdr:cNvPicPr>
      </xdr:nvPicPr>
      <xdr:blipFill>
        <a:blip xmlns:r="http://schemas.openxmlformats.org/officeDocument/2006/relationships" r:embed="rId3"/>
        <a:stretch>
          <a:fillRect/>
        </a:stretch>
      </xdr:blipFill>
      <xdr:spPr>
        <a:xfrm>
          <a:off x="13896975" y="1162050"/>
          <a:ext cx="4819048" cy="4466667"/>
        </a:xfrm>
        <a:prstGeom prst="rect">
          <a:avLst/>
        </a:prstGeom>
      </xdr:spPr>
    </xdr:pic>
    <xdr:clientData/>
  </xdr:twoCellAnchor>
  <xdr:twoCellAnchor editAs="oneCell">
    <xdr:from>
      <xdr:col>23</xdr:col>
      <xdr:colOff>381000</xdr:colOff>
      <xdr:row>68</xdr:row>
      <xdr:rowOff>0</xdr:rowOff>
    </xdr:from>
    <xdr:to>
      <xdr:col>41</xdr:col>
      <xdr:colOff>227076</xdr:colOff>
      <xdr:row>162</xdr:row>
      <xdr:rowOff>140843</xdr:rowOff>
    </xdr:to>
    <xdr:pic>
      <xdr:nvPicPr>
        <xdr:cNvPr id="5" name="图片 4">
          <a:extLst>
            <a:ext uri="{FF2B5EF4-FFF2-40B4-BE49-F238E27FC236}">
              <a16:creationId xmlns:a16="http://schemas.microsoft.com/office/drawing/2014/main" id="{C9F6A33D-FFF4-6DB9-FE48-AE1389EB754A}"/>
            </a:ext>
          </a:extLst>
        </xdr:cNvPr>
        <xdr:cNvPicPr>
          <a:picLocks noChangeAspect="1"/>
        </xdr:cNvPicPr>
      </xdr:nvPicPr>
      <xdr:blipFill>
        <a:blip xmlns:r="http://schemas.openxmlformats.org/officeDocument/2006/relationships" r:embed="rId4"/>
        <a:stretch>
          <a:fillRect/>
        </a:stretch>
      </xdr:blipFill>
      <xdr:spPr>
        <a:xfrm>
          <a:off x="19183350" y="11658600"/>
          <a:ext cx="12190476" cy="16257143"/>
        </a:xfrm>
        <a:prstGeom prst="rect">
          <a:avLst/>
        </a:prstGeom>
      </xdr:spPr>
    </xdr:pic>
    <xdr:clientData/>
  </xdr:twoCellAnchor>
  <xdr:twoCellAnchor editAs="oneCell">
    <xdr:from>
      <xdr:col>1</xdr:col>
      <xdr:colOff>9525</xdr:colOff>
      <xdr:row>33</xdr:row>
      <xdr:rowOff>76200</xdr:rowOff>
    </xdr:from>
    <xdr:to>
      <xdr:col>11</xdr:col>
      <xdr:colOff>189595</xdr:colOff>
      <xdr:row>58</xdr:row>
      <xdr:rowOff>75664</xdr:rowOff>
    </xdr:to>
    <xdr:pic>
      <xdr:nvPicPr>
        <xdr:cNvPr id="6" name="图片 5">
          <a:extLst>
            <a:ext uri="{FF2B5EF4-FFF2-40B4-BE49-F238E27FC236}">
              <a16:creationId xmlns:a16="http://schemas.microsoft.com/office/drawing/2014/main" id="{39DE31C1-CAD5-3A4E-ABC2-5FE8E159F535}"/>
            </a:ext>
          </a:extLst>
        </xdr:cNvPr>
        <xdr:cNvPicPr>
          <a:picLocks noChangeAspect="1"/>
        </xdr:cNvPicPr>
      </xdr:nvPicPr>
      <xdr:blipFill>
        <a:blip xmlns:r="http://schemas.openxmlformats.org/officeDocument/2006/relationships" r:embed="rId5"/>
        <a:stretch>
          <a:fillRect/>
        </a:stretch>
      </xdr:blipFill>
      <xdr:spPr>
        <a:xfrm>
          <a:off x="695325" y="5734050"/>
          <a:ext cx="7238095" cy="4285714"/>
        </a:xfrm>
        <a:prstGeom prst="rect">
          <a:avLst/>
        </a:prstGeom>
      </xdr:spPr>
    </xdr:pic>
    <xdr:clientData/>
  </xdr:twoCellAnchor>
  <xdr:twoCellAnchor editAs="oneCell">
    <xdr:from>
      <xdr:col>10</xdr:col>
      <xdr:colOff>514350</xdr:colOff>
      <xdr:row>32</xdr:row>
      <xdr:rowOff>152400</xdr:rowOff>
    </xdr:from>
    <xdr:to>
      <xdr:col>19</xdr:col>
      <xdr:colOff>413849</xdr:colOff>
      <xdr:row>73</xdr:row>
      <xdr:rowOff>170469</xdr:rowOff>
    </xdr:to>
    <xdr:pic>
      <xdr:nvPicPr>
        <xdr:cNvPr id="7" name="图片 6">
          <a:extLst>
            <a:ext uri="{FF2B5EF4-FFF2-40B4-BE49-F238E27FC236}">
              <a16:creationId xmlns:a16="http://schemas.microsoft.com/office/drawing/2014/main" id="{3E77DD34-239D-6F22-F8FF-C9B230E03F3A}"/>
            </a:ext>
          </a:extLst>
        </xdr:cNvPr>
        <xdr:cNvPicPr>
          <a:picLocks noChangeAspect="1"/>
        </xdr:cNvPicPr>
      </xdr:nvPicPr>
      <xdr:blipFill>
        <a:blip xmlns:r="http://schemas.openxmlformats.org/officeDocument/2006/relationships" r:embed="rId6"/>
        <a:stretch>
          <a:fillRect/>
        </a:stretch>
      </xdr:blipFill>
      <xdr:spPr>
        <a:xfrm>
          <a:off x="7572375" y="5638800"/>
          <a:ext cx="6833699" cy="7047519"/>
        </a:xfrm>
        <a:prstGeom prst="rect">
          <a:avLst/>
        </a:prstGeom>
      </xdr:spPr>
    </xdr:pic>
    <xdr:clientData/>
  </xdr:twoCellAnchor>
  <xdr:twoCellAnchor editAs="oneCell">
    <xdr:from>
      <xdr:col>18</xdr:col>
      <xdr:colOff>381000</xdr:colOff>
      <xdr:row>32</xdr:row>
      <xdr:rowOff>28575</xdr:rowOff>
    </xdr:from>
    <xdr:to>
      <xdr:col>26</xdr:col>
      <xdr:colOff>408861</xdr:colOff>
      <xdr:row>62</xdr:row>
      <xdr:rowOff>94599</xdr:rowOff>
    </xdr:to>
    <xdr:pic>
      <xdr:nvPicPr>
        <xdr:cNvPr id="8" name="图片 7">
          <a:extLst>
            <a:ext uri="{FF2B5EF4-FFF2-40B4-BE49-F238E27FC236}">
              <a16:creationId xmlns:a16="http://schemas.microsoft.com/office/drawing/2014/main" id="{73DE2A4C-1598-D3A7-682A-411DE86E11A1}"/>
            </a:ext>
          </a:extLst>
        </xdr:cNvPr>
        <xdr:cNvPicPr>
          <a:picLocks noChangeAspect="1"/>
        </xdr:cNvPicPr>
      </xdr:nvPicPr>
      <xdr:blipFill>
        <a:blip xmlns:r="http://schemas.openxmlformats.org/officeDocument/2006/relationships" r:embed="rId7"/>
        <a:stretch>
          <a:fillRect/>
        </a:stretch>
      </xdr:blipFill>
      <xdr:spPr>
        <a:xfrm>
          <a:off x="13487400" y="5514975"/>
          <a:ext cx="5714286" cy="520952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hyperlink" Target="https://paimai.jd.com/298644220" TargetMode="External"/><Relationship Id="rId2" Type="http://schemas.openxmlformats.org/officeDocument/2006/relationships/hyperlink" Target="https://sf-item.taobao.com/sf_item/827694756388.htm?spm=a213w.7398504.paiList.4.207e2d531GwNNo&amp;track_id=242c57b2-39c5-42a0-b4cc-669b95cb0f32" TargetMode="External"/><Relationship Id="rId1" Type="http://schemas.openxmlformats.org/officeDocument/2006/relationships/hyperlink" Target="https://sf-item.taobao.com/sf_item/978952784176.htm?spm=a213w.7398504.paiList.1.207e2d531GwNNo&amp;track_id=242c57b2-39c5-42a0-b4cc-669b95cb0f32" TargetMode="External"/><Relationship Id="rId5" Type="http://schemas.openxmlformats.org/officeDocument/2006/relationships/drawing" Target="../drawings/drawing1.xml"/><Relationship Id="rId4" Type="http://schemas.openxmlformats.org/officeDocument/2006/relationships/hyperlink" Target="https://paimai.jd.com/308067165"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12" customWidth="1"/>
    <col min="2" max="2" width="81" style="1128" customWidth="1"/>
    <col min="3" max="16384" width="9" style="1121"/>
  </cols>
  <sheetData>
    <row r="1" spans="1:2" s="1115" customFormat="1" ht="16.5" thickBot="1">
      <c r="A1" s="1114" t="s">
        <v>521</v>
      </c>
      <c r="B1" s="1113" t="s">
        <v>600</v>
      </c>
    </row>
    <row r="2" spans="1:2" s="1118" customFormat="1" ht="15" thickTop="1">
      <c r="A2" s="1116" t="s">
        <v>522</v>
      </c>
      <c r="B2" s="1117" t="str">
        <f>'预评函-封皮'!B37:I37</f>
        <v>北京市房地产市场价值预评估</v>
      </c>
    </row>
    <row r="3" spans="1:2">
      <c r="A3" s="1119" t="s">
        <v>523</v>
      </c>
      <c r="B3" s="1120">
        <f>'预评函-封皮'!B40</f>
        <v>0</v>
      </c>
    </row>
    <row r="4" spans="1:2">
      <c r="A4" s="1119" t="s">
        <v>524</v>
      </c>
      <c r="B4" s="1120" t="str">
        <f>'预评函-封皮'!B46</f>
        <v>（注册号：0)、（注册号：0)</v>
      </c>
    </row>
    <row r="5" spans="1:2" s="1115" customFormat="1" ht="15" thickBot="1">
      <c r="A5" s="1122" t="s">
        <v>525</v>
      </c>
      <c r="B5" s="1123" t="str">
        <f>'预评函-封皮'!B49</f>
        <v>康正预评字号</v>
      </c>
    </row>
    <row r="6" spans="1:2" s="1118" customFormat="1" ht="15" thickTop="1">
      <c r="A6" s="1116" t="s">
        <v>526</v>
      </c>
      <c r="B6" s="1117" t="str">
        <f>'预评函-1'!A4</f>
        <v>受贵公司委托，我公司对北京市房地产市场价值进行了预评估。</v>
      </c>
    </row>
    <row r="7" spans="1:2">
      <c r="A7" s="1119" t="s">
        <v>566</v>
      </c>
      <c r="B7" s="1120" t="str">
        <f>'预评函-1'!A7</f>
        <v>估价对象为北京市房地产，为所有。根据《国有土地使用证》[]，估价对象（分摊）出让国有建设用地使用权面积为0平方米，建筑面积为32.74平方米。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估价对象为北京市房地产,属开发建设的，该项目尚在开发建设中。根据《国有土地使用证》[]，估价对象（分摊）出让国有建设用地使用权面积为0平方米，规划建筑面积为32.74平方米。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为估价委托人了解估价对象房地产市场价值提供参考依据。</v>
      </c>
    </row>
    <row r="12" spans="1:2">
      <c r="A12" s="1119" t="s">
        <v>528</v>
      </c>
      <c r="B12" s="1120" t="str">
        <f>'预评函-1'!A15</f>
        <v>2025年12月24日（评估专业人员实地查勘之日）</v>
      </c>
    </row>
    <row r="13" spans="1:2">
      <c r="A13" s="1119" t="s">
        <v>529</v>
      </c>
      <c r="B13" s="1120" t="str">
        <f>'预评函-1'!A18</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v>
      </c>
    </row>
    <row r="16" spans="1:2">
      <c r="A16" s="1119" t="s">
        <v>532</v>
      </c>
      <c r="B16" s="1120" t="str">
        <f>'预评函-1'!A21</f>
        <v>——</v>
      </c>
    </row>
    <row r="17" spans="1:2">
      <c r="A17" s="1119" t="s">
        <v>533</v>
      </c>
      <c r="B17" s="1120" t="str">
        <f>'预评函-1'!A22</f>
        <v>——</v>
      </c>
    </row>
    <row r="18" spans="1:2" s="1115" customFormat="1" ht="15" thickBot="1">
      <c r="A18" s="1122" t="s">
        <v>534</v>
      </c>
      <c r="B18" s="1123" t="str">
        <f>'预评函-1'!A24</f>
        <v>本次评估采用的主估价方法为比较法和收益法。</v>
      </c>
    </row>
    <row r="19" spans="1:2" s="1118" customFormat="1" ht="15" thickTop="1">
      <c r="A19" s="1116" t="s">
        <v>535</v>
      </c>
      <c r="B19" s="1117"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1119" t="s">
        <v>536</v>
      </c>
      <c r="B20" s="1120" t="e">
        <f ca="1">'预评函-2'!D5</f>
        <v>#REF!</v>
      </c>
    </row>
    <row r="21" spans="1:2">
      <c r="A21" s="1119" t="s">
        <v>537</v>
      </c>
      <c r="B21" s="1120" t="e">
        <f ca="1">'预评函-2'!D7</f>
        <v>#REF!</v>
      </c>
    </row>
    <row r="22" spans="1:2">
      <c r="A22" s="1119" t="s">
        <v>538</v>
      </c>
      <c r="B22" s="1120" t="e">
        <f ca="1">'预评函-2'!D6</f>
        <v>#REF!</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t="e">
        <f ca="1">'预评函-2'!D13</f>
        <v>#REF!</v>
      </c>
    </row>
    <row r="31" spans="1:2">
      <c r="A31" s="1119" t="s">
        <v>576</v>
      </c>
      <c r="B31" s="1120" t="e">
        <f ca="1">'预评函-2'!D15</f>
        <v>#REF!</v>
      </c>
    </row>
    <row r="32" spans="1:2">
      <c r="A32" s="1119" t="s">
        <v>543</v>
      </c>
      <c r="B32" s="1120" t="e">
        <f ca="1">'预评函-2'!D14</f>
        <v>#REF!</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北京市房地产</v>
      </c>
    </row>
    <row r="42" spans="1:2">
      <c r="A42" s="1119" t="s">
        <v>590</v>
      </c>
      <c r="B42" s="1120" t="str">
        <f>'预评函-3'!B2</f>
        <v>建筑面积</v>
      </c>
    </row>
    <row r="43" spans="1:2">
      <c r="A43" s="1119" t="s">
        <v>591</v>
      </c>
      <c r="B43" s="1120">
        <f>'预评函-3'!B4</f>
        <v>32.74</v>
      </c>
    </row>
    <row r="44" spans="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t="e">
        <f ca="1">'预评函-3'!D4</f>
        <v>#REF!</v>
      </c>
    </row>
    <row r="48" spans="1:2">
      <c r="A48" s="1119" t="s">
        <v>549</v>
      </c>
      <c r="B48" s="1120" t="e">
        <f ca="1">'预评函-3'!E4</f>
        <v>#REF!</v>
      </c>
    </row>
    <row r="49" spans="1:2">
      <c r="A49" s="1119" t="s">
        <v>550</v>
      </c>
      <c r="B49" s="1120" t="e">
        <f ca="1">'预评函-3'!D5</f>
        <v>#REF!</v>
      </c>
    </row>
    <row r="50" spans="1:2">
      <c r="A50" s="1119" t="s">
        <v>574</v>
      </c>
      <c r="B50" s="1120" t="str">
        <f>'预评函-3'!F2</f>
        <v>在建建筑物价值</v>
      </c>
    </row>
    <row r="51" spans="1:2">
      <c r="A51" s="1119" t="s">
        <v>551</v>
      </c>
      <c r="B51" s="1120" t="e">
        <f ca="1">'预评函-3'!F4</f>
        <v>#REF!</v>
      </c>
    </row>
    <row r="52" spans="1:2">
      <c r="A52" s="1119" t="s">
        <v>552</v>
      </c>
      <c r="B52" s="1120" t="e">
        <f ca="1">'预评函-3'!G4</f>
        <v>#REF!</v>
      </c>
    </row>
    <row r="53" spans="1:2">
      <c r="A53" s="1119" t="s">
        <v>580</v>
      </c>
      <c r="B53" s="1120" t="e">
        <f ca="1">'预评函-3'!F5</f>
        <v>#REF!</v>
      </c>
    </row>
    <row r="54" spans="1:2">
      <c r="A54" s="1119" t="s">
        <v>598</v>
      </c>
      <c r="B54" s="1120" t="str">
        <f>'预评函-3'!A8</f>
        <v/>
      </c>
    </row>
    <row r="55" spans="1:2">
      <c r="A55" s="1119" t="s">
        <v>581</v>
      </c>
      <c r="B55" s="1120" t="str">
        <f>'预评函-3'!A10</f>
        <v/>
      </c>
    </row>
    <row r="56" spans="1:2">
      <c r="A56" s="1119" t="s">
        <v>582</v>
      </c>
      <c r="B56" s="1120" t="str">
        <f>'预评函-3'!A12</f>
        <v/>
      </c>
    </row>
    <row r="57" spans="1:2" s="1115" customFormat="1" ht="15" thickBot="1">
      <c r="A57" s="1122" t="s">
        <v>599</v>
      </c>
      <c r="B57" s="1123" t="str">
        <f>'预评函-3'!A6</f>
        <v/>
      </c>
    </row>
    <row r="58" spans="1:2" s="1118" customFormat="1" ht="15" thickTop="1">
      <c r="A58" s="1116" t="s">
        <v>553</v>
      </c>
      <c r="B58" s="1117" t="str">
        <f>'预评函-4'!A12</f>
        <v>2.本次评估设定估价对象房地产权属无争议，未被查封或者以其他形式限制其房地产权利，未设定抵押权等他项权利，不涉及第三方权利义务。</v>
      </c>
    </row>
    <row r="59" spans="1:2">
      <c r="A59" s="1119" t="s">
        <v>554</v>
      </c>
      <c r="B59" s="1120" t="str">
        <f>'预评函-4'!A13</f>
        <v>——</v>
      </c>
    </row>
    <row r="60" spans="1:2">
      <c r="A60" s="1119" t="s">
        <v>555</v>
      </c>
      <c r="B60" s="1120" t="str">
        <f>'预评函-4'!A14</f>
        <v>——</v>
      </c>
    </row>
    <row r="61" spans="1:2">
      <c r="A61" s="1119" t="s">
        <v>556</v>
      </c>
      <c r="B61" s="1120" t="str">
        <f>'预评函-4'!A15</f>
        <v>——</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v>
      </c>
    </row>
    <row r="65" spans="1:2">
      <c r="A65" s="1119" t="s">
        <v>559</v>
      </c>
      <c r="B65" s="1120"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9" t="s">
        <v>571</v>
      </c>
      <c r="B67" s="1120"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9" t="s">
        <v>572</v>
      </c>
      <c r="B68" s="1120" t="str">
        <f>'预评函-4'!A22</f>
        <v>8.其他需特殊说明事项：无（注意调整序号）</v>
      </c>
    </row>
    <row r="69" spans="1:2" s="1115" customFormat="1" ht="15" thickBot="1">
      <c r="A69" s="1122" t="s">
        <v>561</v>
      </c>
      <c r="B69" s="1124">
        <f>'预评函-4'!C31</f>
        <v>42551</v>
      </c>
    </row>
    <row r="70" spans="1:2" ht="15" thickTop="1">
      <c r="A70" s="1125" t="s">
        <v>562</v>
      </c>
      <c r="B70" s="1126">
        <f>'预评函-4'!A4</f>
        <v>0</v>
      </c>
    </row>
    <row r="71" spans="1:2">
      <c r="A71" s="1119" t="s">
        <v>563</v>
      </c>
      <c r="B71" s="1120">
        <f>'预评函-4'!B4</f>
        <v>0</v>
      </c>
    </row>
    <row r="72" spans="1:2">
      <c r="A72" s="1119" t="s">
        <v>564</v>
      </c>
      <c r="B72" s="1127">
        <f>'预评函-4'!A5</f>
        <v>0</v>
      </c>
    </row>
    <row r="73" spans="1:2" s="1115" customFormat="1" ht="15" thickBot="1">
      <c r="A73" s="1122" t="s">
        <v>565</v>
      </c>
      <c r="B73" s="1123">
        <f>'预评函-4'!B5</f>
        <v>0</v>
      </c>
    </row>
    <row r="74" spans="1:2" ht="1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E21" sqref="E21"/>
    </sheetView>
  </sheetViews>
  <sheetFormatPr defaultColWidth="9" defaultRowHeight="13.5"/>
  <cols>
    <col min="1" max="1" width="13.5" style="1448" customWidth="1"/>
    <col min="2" max="2" width="23.25" style="1405" customWidth="1"/>
    <col min="3" max="3" width="13" style="1445" customWidth="1"/>
    <col min="4" max="4" width="5.75" style="1443" customWidth="1"/>
    <col min="5" max="5" width="7.125" style="1443" customWidth="1"/>
    <col min="6" max="6" width="10.625" style="1443" customWidth="1"/>
    <col min="7" max="7" width="7.5" style="1443" customWidth="1"/>
    <col min="8" max="8" width="11.875" style="1445" customWidth="1"/>
    <col min="9" max="9" width="11.625" style="1445" customWidth="1"/>
    <col min="10" max="10" width="9" style="1445" customWidth="1"/>
    <col min="11" max="19" width="9" style="1443" customWidth="1"/>
    <col min="20" max="23" width="9" style="1445" customWidth="1"/>
    <col min="24" max="28" width="15.125" style="1445" customWidth="1"/>
    <col min="29" max="16384" width="9" style="1405"/>
  </cols>
  <sheetData>
    <row r="1" spans="1:28" s="1440" customFormat="1" ht="40.5">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3471</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2"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2"/>
      <c r="B54" s="1447" t="s">
        <v>385</v>
      </c>
      <c r="C54" s="1445" t="s">
        <v>583</v>
      </c>
    </row>
    <row r="55" spans="1:4">
      <c r="A55" s="3222"/>
      <c r="B55" s="1447" t="s">
        <v>386</v>
      </c>
      <c r="C55" s="1445" t="s">
        <v>584</v>
      </c>
    </row>
    <row r="56" spans="1:4">
      <c r="A56" s="3222"/>
      <c r="B56" s="1447" t="s">
        <v>387</v>
      </c>
      <c r="C56" s="1445" t="s">
        <v>588</v>
      </c>
    </row>
    <row r="57" spans="1:4">
      <c r="A57" s="3222"/>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7"/>
    <col min="8" max="8" width="5.5" style="2757" customWidth="1"/>
    <col min="9" max="13" width="9.5" style="2798" customWidth="1"/>
    <col min="14" max="18" width="9.5" style="2757" customWidth="1"/>
    <col min="19" max="16384" width="15.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3" t="s">
        <v>2580</v>
      </c>
      <c r="J2" s="3223"/>
      <c r="K2" s="3223"/>
      <c r="L2" s="3223"/>
      <c r="M2" s="3223"/>
      <c r="N2" s="3223"/>
      <c r="O2" s="3223"/>
      <c r="P2" s="3223"/>
      <c r="Q2" s="3223"/>
      <c r="R2" s="3223"/>
    </row>
    <row r="3" spans="1:18">
      <c r="A3" s="2761" t="s">
        <v>2501</v>
      </c>
      <c r="B3" s="2762">
        <f>项目基本情况!D3</f>
        <v>46015</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0.98</v>
      </c>
      <c r="D5" s="2766">
        <f>IF(ISERROR(ROUND(POWER(1+E5,A5-C5)*(POWER(1+E5,C5)-1)/(POWER(1+E5,A5)-1),3)),0,ROUND(POWER(1+E5,A5-C5)*(POWER(1+E5,C5)-1)/(POWER(1+E5,A5)-1),4))</f>
        <v>4.7600000000000003E-2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10.99</v>
      </c>
      <c r="D6" s="2766">
        <f>IF(ISERROR(ROUND(POWER(1+E6,A6-C6)*(POWER(1+E6,C6)-1)/(POWER(1+E6,A6)-1),3)),0,ROUND(POWER(1+E6,A6-C6)*(POWER(1+E6,C6)-1)/(POWER(1+E6,A6)-1),4))</f>
        <v>0.40749999999999997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v>
      </c>
      <c r="D7" s="2766">
        <f>IF(ISERROR(ROUND(POWER(1+E7,A7-C7)*(POWER(1+E7,C7)-1)/(POWER(1+E7,A7)-1),3)),0,ROUND(POWER(1+E7,A7-C7)*(POWER(1+E7,C7)-1)/(POWER(1+E7,A7)-1),4))</f>
        <v>0.75180000000000002</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25" thickBot="1">
      <c r="A18" s="2771" t="s">
        <v>2516</v>
      </c>
      <c r="B18" s="2772">
        <f>ROUND(B17*F11/F12,2)</f>
        <v>5541.87</v>
      </c>
      <c r="C18" s="2772">
        <f>ROUND(F11/F12,4)</f>
        <v>1.1521999999999999</v>
      </c>
      <c r="D18" s="2773"/>
      <c r="E18" s="2773"/>
      <c r="F18" s="2774"/>
    </row>
    <row r="19" spans="1:14" ht="14.25" thickBot="1"/>
    <row r="20" spans="1:14" s="2807" customFormat="1" ht="14.2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2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2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5" zoomScaleNormal="100" zoomScaleSheetLayoutView="115" workbookViewId="0">
      <selection activeCell="E13" sqref="E13"/>
    </sheetView>
  </sheetViews>
  <sheetFormatPr defaultColWidth="10" defaultRowHeight="12.75"/>
  <cols>
    <col min="1" max="1" width="16.875" style="1618" customWidth="1"/>
    <col min="2" max="2" width="10" style="1618" customWidth="1"/>
    <col min="3" max="3" width="11.5" style="1618" customWidth="1"/>
    <col min="4" max="4" width="10" style="1618" customWidth="1"/>
    <col min="5" max="5" width="12.625" style="1618" customWidth="1"/>
    <col min="6" max="6" width="10" style="1618" customWidth="1"/>
    <col min="7" max="7" width="10.75" style="1618" customWidth="1"/>
    <col min="8" max="8" width="10" style="1618" customWidth="1"/>
    <col min="9" max="9" width="11.125" style="1468" customWidth="1"/>
    <col min="10" max="10" width="10" style="1616" customWidth="1"/>
    <col min="11" max="11" width="10" style="2411" customWidth="1"/>
    <col min="12" max="13" width="10" style="2412"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79" t="s">
        <v>2168</v>
      </c>
      <c r="B1" s="3224" t="str">
        <f>IF(B10="北京市","北京市",C10)&amp;F10&amp;IF(结果表!G1="在建","出让国有建设用地使用权及在建建筑物",IF(结果表!G1="土地","出让国有建设用地使用权",))&amp;B9&amp;"预评估"</f>
        <v>北京市房地产市场价值预评估</v>
      </c>
      <c r="C1" s="3225"/>
      <c r="D1" s="3225"/>
      <c r="E1" s="3225"/>
      <c r="F1" s="3225"/>
      <c r="G1" s="3225"/>
      <c r="H1" s="3225"/>
      <c r="I1" s="3226"/>
      <c r="J1" s="2243"/>
      <c r="K1" s="2181"/>
      <c r="L1" s="2182"/>
      <c r="M1" s="2182"/>
      <c r="N1" s="2180"/>
      <c r="O1" s="1466"/>
      <c r="P1" s="2180"/>
      <c r="Q1" s="2180"/>
      <c r="R1" s="2180"/>
      <c r="S1" s="1561" t="str">
        <f>IF(B10="北京市","北京市",C10)&amp;F10&amp;IF(结果表!G1="在建","出让国有建设用地使用权及在建建筑物房地产抵押价值",IF(结果表!G1="土地","出让国有建设用地使用权抵押价值",B9))</f>
        <v>北京市房地产市场价值</v>
      </c>
      <c r="T1" s="1618"/>
      <c r="U1" s="1618"/>
      <c r="V1" s="1618"/>
      <c r="W1" s="1618"/>
      <c r="X1" s="1618"/>
      <c r="Y1" s="1618"/>
      <c r="Z1" s="1618"/>
      <c r="AA1" s="1618"/>
      <c r="AB1" s="1618"/>
    </row>
    <row r="2" spans="1:30">
      <c r="A2" s="2180" t="s">
        <v>2169</v>
      </c>
      <c r="B2" s="122"/>
      <c r="D2" s="2446"/>
      <c r="E2" s="2439"/>
      <c r="F2" s="2439"/>
      <c r="G2" s="2440"/>
      <c r="H2" s="2440"/>
      <c r="I2" s="2440"/>
      <c r="J2" s="2243"/>
      <c r="K2" s="2181"/>
      <c r="L2" s="2182"/>
      <c r="M2" s="2182"/>
      <c r="N2" s="2180"/>
      <c r="O2" s="1466"/>
      <c r="P2" s="2180"/>
      <c r="Q2" s="2180"/>
      <c r="R2" s="2180"/>
      <c r="S2" s="1561" t="str">
        <f>IF(B10="北京市","北京市",C10)&amp;F10&amp;IF(结果表!G1="在建","出让国有建设用地使用权及在建建筑物房地产",IF(结果表!G1="土地","出让国有建设用地使用权","房地产"))</f>
        <v>北京市房地产</v>
      </c>
      <c r="T2" s="1618"/>
      <c r="U2" s="1618"/>
      <c r="V2" s="1618"/>
      <c r="W2" s="1618"/>
      <c r="X2" s="1618"/>
      <c r="Y2" s="1618"/>
      <c r="Z2" s="1618"/>
      <c r="AA2" s="1618"/>
      <c r="AB2" s="1618"/>
    </row>
    <row r="3" spans="1:30">
      <c r="A3" s="294" t="s">
        <v>2170</v>
      </c>
      <c r="B3" s="2183">
        <v>46015</v>
      </c>
      <c r="C3" s="2184" t="s">
        <v>2171</v>
      </c>
      <c r="D3" s="2183">
        <f>B3</f>
        <v>46015</v>
      </c>
      <c r="E3" s="2440"/>
      <c r="F3" s="2440"/>
      <c r="G3" s="2440"/>
      <c r="H3" s="2440"/>
      <c r="I3" s="2440"/>
      <c r="J3" s="2243"/>
      <c r="K3" s="2181"/>
      <c r="L3" s="2182"/>
      <c r="M3" s="2182"/>
      <c r="N3" s="2180"/>
      <c r="O3" s="1466"/>
      <c r="P3" s="2180"/>
      <c r="Q3" s="2180"/>
      <c r="R3" s="2180"/>
      <c r="S3" s="1561"/>
      <c r="T3" s="1618"/>
      <c r="U3" s="1618"/>
      <c r="V3" s="1618"/>
      <c r="W3" s="1618"/>
      <c r="X3" s="1618"/>
      <c r="Y3" s="1618"/>
      <c r="Z3" s="1618"/>
      <c r="AA3" s="1618"/>
      <c r="AB3" s="1618"/>
    </row>
    <row r="4" spans="1:30" ht="13.5" thickBot="1">
      <c r="A4" s="1027" t="s">
        <v>2172</v>
      </c>
      <c r="B4" s="2185"/>
      <c r="C4" s="2186">
        <f>SUMIF(注册房地产估价师,B4,估价师及机构信息!B3:B24)</f>
        <v>0</v>
      </c>
      <c r="D4" s="2185"/>
      <c r="E4" s="2186">
        <f>SUMIF(注册房地产估价师,D4,估价师及机构信息!B3:B24)</f>
        <v>0</v>
      </c>
      <c r="F4" s="2185"/>
      <c r="G4" s="2186">
        <f>SUMIF(注册房地产估价师,F4,估价师及机构信息!B3:B24)</f>
        <v>0</v>
      </c>
      <c r="H4" s="2185"/>
      <c r="I4" s="2186">
        <f>SUMIF(注册房地产估价师,H4,估价师及机构信息!B3:B24)</f>
        <v>0</v>
      </c>
      <c r="J4" s="2243"/>
      <c r="K4" s="2187" t="str">
        <f>CONCATENATE(B4,"（注册号：",C4,")、",D4,"（注册号：",E4,")")</f>
        <v>（注册号：0)、（注册号：0)</v>
      </c>
      <c r="L4" s="2182"/>
      <c r="M4" s="2182"/>
      <c r="N4" s="2180"/>
      <c r="O4" s="1466"/>
      <c r="P4" s="2180"/>
      <c r="Q4" s="2180"/>
      <c r="R4" s="2180"/>
      <c r="S4" s="1561"/>
      <c r="T4" s="1618"/>
      <c r="U4" s="1618"/>
      <c r="V4" s="1618"/>
      <c r="W4" s="1618"/>
      <c r="X4" s="1618"/>
      <c r="Y4" s="1618"/>
      <c r="Z4" s="1618"/>
      <c r="AA4" s="1618"/>
      <c r="AB4" s="1618"/>
    </row>
    <row r="5" spans="1:30" ht="13.5" thickTop="1">
      <c r="A5" s="2188" t="s">
        <v>2173</v>
      </c>
      <c r="B5" s="2189"/>
      <c r="C5" s="2190"/>
      <c r="D5" s="2191"/>
      <c r="E5" s="2440"/>
      <c r="F5" s="2440"/>
      <c r="G5" s="2440"/>
      <c r="H5" s="2440"/>
      <c r="I5" s="2440"/>
      <c r="J5" s="2243"/>
      <c r="K5" s="2187" t="str">
        <f>IF(F4="——","",IF(H4="——",F4&amp;"（注册号："&amp;G4&amp;")",CONCATENATE(F4,"（注册号：",G4,")、",H4,"（注册号：",I4,")")))</f>
        <v>（注册号：0)、（注册号：0)</v>
      </c>
      <c r="L5" s="2182"/>
      <c r="M5" s="2182"/>
      <c r="N5" s="2180"/>
      <c r="O5" s="1466"/>
      <c r="P5" s="2180"/>
      <c r="Q5" s="2180"/>
      <c r="R5" s="2180"/>
      <c r="S5" s="1618"/>
      <c r="T5" s="1618"/>
      <c r="U5" s="1618"/>
      <c r="V5" s="1618"/>
      <c r="W5" s="1618"/>
      <c r="X5" s="1618"/>
      <c r="Y5" s="1618"/>
      <c r="Z5" s="1618"/>
      <c r="AA5" s="1618"/>
      <c r="AB5" s="1618"/>
    </row>
    <row r="6" spans="1:30">
      <c r="A6" s="2192" t="s">
        <v>2174</v>
      </c>
      <c r="B6" s="2193"/>
      <c r="C6" s="2194"/>
      <c r="D6" s="2195"/>
      <c r="E6" s="2439"/>
      <c r="F6" s="2440"/>
      <c r="G6" s="2440"/>
      <c r="H6" s="2440"/>
      <c r="I6" s="2440"/>
      <c r="J6" s="2243"/>
      <c r="K6" s="2399" t="str">
        <f>IF(COUNTIF(B6,"*上海银行*"),"上海银行","")</f>
        <v/>
      </c>
      <c r="L6" s="2397"/>
      <c r="M6" s="2397"/>
      <c r="N6" s="2243"/>
      <c r="O6" s="1670"/>
      <c r="P6" s="2243"/>
      <c r="Q6" s="2243"/>
      <c r="R6" s="2243"/>
    </row>
    <row r="7" spans="1:30">
      <c r="A7" s="2192" t="s">
        <v>2175</v>
      </c>
      <c r="B7" s="2196"/>
      <c r="C7" s="2194"/>
      <c r="D7" s="2195"/>
      <c r="E7" s="2439"/>
      <c r="F7" s="2440"/>
      <c r="G7" s="2440"/>
      <c r="H7" s="2440"/>
      <c r="I7" s="2440"/>
      <c r="J7" s="2243"/>
      <c r="K7" s="2400"/>
      <c r="L7" s="2397"/>
      <c r="M7" s="2397"/>
      <c r="N7" s="2243"/>
      <c r="O7" s="1670"/>
      <c r="P7" s="2243"/>
      <c r="Q7" s="2243"/>
      <c r="R7" s="2243"/>
    </row>
    <row r="8" spans="1:30">
      <c r="A8" s="2197" t="s">
        <v>2176</v>
      </c>
      <c r="B8" s="2198" t="s">
        <v>3461</v>
      </c>
      <c r="C8" s="2199"/>
      <c r="D8" s="3227" t="s">
        <v>2177</v>
      </c>
      <c r="E8" s="2200"/>
      <c r="F8" s="2201"/>
      <c r="G8" s="2440"/>
      <c r="H8" s="2440"/>
      <c r="I8" s="2440"/>
      <c r="J8" s="2243"/>
      <c r="K8" s="2398"/>
      <c r="L8" s="2397"/>
      <c r="M8" s="2397"/>
      <c r="N8" s="2243"/>
      <c r="O8" s="1670"/>
      <c r="P8" s="2243"/>
      <c r="Q8" s="2243"/>
      <c r="R8" s="2243"/>
    </row>
    <row r="9" spans="1:30" ht="13.5" thickBot="1">
      <c r="A9" s="2202" t="s">
        <v>2178</v>
      </c>
      <c r="B9" s="2203" t="s">
        <v>3462</v>
      </c>
      <c r="C9" s="2204"/>
      <c r="D9" s="3228"/>
      <c r="E9" s="2203"/>
      <c r="F9" s="2205"/>
      <c r="G9" s="2441"/>
      <c r="H9" s="2441"/>
      <c r="I9" s="2441"/>
      <c r="J9" s="2243"/>
      <c r="K9" s="2400"/>
      <c r="L9" s="2397"/>
      <c r="M9" s="2397"/>
      <c r="N9" s="2243"/>
      <c r="O9" s="1670"/>
      <c r="P9" s="2243"/>
      <c r="Q9" s="2243"/>
      <c r="R9" s="2243"/>
    </row>
    <row r="10" spans="1:30" ht="13.5" thickTop="1">
      <c r="A10" s="2206" t="s">
        <v>2179</v>
      </c>
      <c r="B10" s="2207" t="s">
        <v>3463</v>
      </c>
      <c r="C10" s="2208"/>
      <c r="D10" s="2191"/>
      <c r="E10" s="2209" t="s">
        <v>2180</v>
      </c>
      <c r="F10" s="2442"/>
      <c r="G10" s="2443"/>
      <c r="H10" s="2444"/>
      <c r="I10" s="2445"/>
      <c r="J10" s="2243"/>
      <c r="K10" s="2400"/>
      <c r="L10" s="2397"/>
      <c r="M10" s="2397"/>
      <c r="N10" s="2243"/>
      <c r="O10" s="1670"/>
      <c r="P10" s="2243"/>
      <c r="Q10" s="2243"/>
      <c r="R10" s="2243"/>
    </row>
    <row r="11" spans="1:30">
      <c r="A11" s="2210" t="s">
        <v>2181</v>
      </c>
      <c r="B11" s="2211" t="s">
        <v>3464</v>
      </c>
      <c r="C11" s="2212"/>
      <c r="D11" s="2213"/>
      <c r="E11" s="2180"/>
      <c r="F11" s="2180"/>
      <c r="G11" s="2180"/>
      <c r="H11" s="2180"/>
      <c r="I11" s="2180"/>
      <c r="J11" s="2800"/>
      <c r="K11" s="2397"/>
      <c r="L11" s="2397"/>
      <c r="M11" s="2397"/>
      <c r="N11" s="2243"/>
      <c r="O11" s="1670"/>
      <c r="P11" s="2243"/>
      <c r="Q11" s="2243"/>
      <c r="R11" s="2243"/>
    </row>
    <row r="12" spans="1:30">
      <c r="A12" s="2214" t="s">
        <v>2182</v>
      </c>
      <c r="B12" s="315" t="s">
        <v>2183</v>
      </c>
      <c r="C12" s="2215" t="s">
        <v>2184</v>
      </c>
      <c r="D12" s="2215" t="s">
        <v>2185</v>
      </c>
      <c r="E12" s="2215" t="s">
        <v>2186</v>
      </c>
      <c r="F12" s="2215" t="s">
        <v>2187</v>
      </c>
      <c r="G12" s="2215" t="s">
        <v>2188</v>
      </c>
      <c r="H12" s="2215" t="s">
        <v>2189</v>
      </c>
      <c r="I12" s="2799" t="s">
        <v>2576</v>
      </c>
      <c r="J12" s="2801"/>
      <c r="K12" s="2397"/>
      <c r="L12" s="2397"/>
      <c r="M12" s="2243"/>
      <c r="N12" s="1670"/>
      <c r="O12" s="2243"/>
      <c r="P12" s="2243"/>
      <c r="Q12" s="2243"/>
      <c r="AD12" s="1618"/>
    </row>
    <row r="13" spans="1:30">
      <c r="A13" s="3120" t="s">
        <v>3330</v>
      </c>
      <c r="B13" s="2216" t="s">
        <v>2190</v>
      </c>
      <c r="C13" s="803"/>
      <c r="D13" s="803">
        <v>52932</v>
      </c>
      <c r="E13" s="803">
        <v>56584</v>
      </c>
      <c r="F13" s="803"/>
      <c r="G13" s="803"/>
      <c r="H13" s="803"/>
      <c r="I13" s="803"/>
      <c r="J13" s="2801"/>
      <c r="K13" s="2397"/>
      <c r="L13" s="2397"/>
      <c r="M13" s="2243"/>
      <c r="N13" s="1670"/>
      <c r="O13" s="2243"/>
      <c r="P13" s="2243"/>
      <c r="Q13" s="2243"/>
      <c r="AD13" s="1618"/>
    </row>
    <row r="14" spans="1:30">
      <c r="A14" s="1018"/>
      <c r="B14" s="2216" t="s">
        <v>2191</v>
      </c>
      <c r="C14" s="2217">
        <v>70</v>
      </c>
      <c r="D14" s="2217">
        <v>40</v>
      </c>
      <c r="E14" s="2217">
        <v>50</v>
      </c>
      <c r="F14" s="2217"/>
      <c r="G14" s="2217"/>
      <c r="H14" s="2217"/>
      <c r="I14" s="2217"/>
      <c r="J14" s="2802"/>
      <c r="K14" s="2397"/>
      <c r="L14" s="2397"/>
      <c r="M14" s="2243"/>
      <c r="N14" s="1670"/>
      <c r="O14" s="2243"/>
      <c r="P14" s="2243"/>
      <c r="Q14" s="2243"/>
      <c r="AD14" s="1618"/>
    </row>
    <row r="15" spans="1:30">
      <c r="A15" s="312"/>
      <c r="B15" s="2218" t="s">
        <v>2192</v>
      </c>
      <c r="C15" s="2219" t="str">
        <f>IF(A13="出让",IF(C13="","",ROUNDDOWN(MIN((C13-$D$3)/365,C14),2)),C14)</f>
        <v/>
      </c>
      <c r="D15" s="2219">
        <f>IF(A13="出让",IF(D13="","",ROUNDDOWN(MIN((D13-$D$3)/365,D14),2)),D14)</f>
        <v>18.95</v>
      </c>
      <c r="E15" s="2219">
        <f>IF(A13="出让",IF(E13="","",ROUNDDOWN(MIN((E13-$D$3)/365,E14),2)),E14)</f>
        <v>28.95</v>
      </c>
      <c r="F15" s="2219" t="str">
        <f>IF(A13="出让",IF(F13="","",ROUNDDOWN(MIN((F13-$D$3)/365,F14),2)),F14)</f>
        <v/>
      </c>
      <c r="G15" s="2219" t="str">
        <f>IF(A13="出让",IF(G13="","",ROUNDDOWN(MIN((G13-$D$3)/365,G14),2)),G14)</f>
        <v/>
      </c>
      <c r="H15" s="2219" t="str">
        <f>IF(A13="出让",IF(H13="","",ROUNDDOWN(MIN((H13-$D$3)/365,H14),2)),H14)</f>
        <v/>
      </c>
      <c r="I15" s="2219" t="str">
        <f>IF(A13="出让",IF(I13="","",ROUNDDOWN(MIN((I13-$D$3)/365,I14),2)),I14)</f>
        <v/>
      </c>
      <c r="J15" s="2803"/>
      <c r="K15" s="1670"/>
      <c r="L15" s="1670"/>
      <c r="M15" s="2243"/>
      <c r="N15" s="1670"/>
      <c r="O15" s="2243"/>
      <c r="P15" s="2243"/>
      <c r="Q15" s="2243"/>
      <c r="AD15" s="1618"/>
    </row>
    <row r="16" spans="1:30">
      <c r="A16" s="2209" t="s">
        <v>2193</v>
      </c>
      <c r="B16" s="3234"/>
      <c r="C16" s="3235"/>
      <c r="D16" s="3236"/>
      <c r="E16" s="2220" t="s">
        <v>2194</v>
      </c>
      <c r="F16" s="3237"/>
      <c r="G16" s="3238"/>
      <c r="H16" s="3238"/>
      <c r="I16" s="3239"/>
      <c r="J16" s="2243"/>
      <c r="K16" s="2401"/>
      <c r="L16" s="1670"/>
      <c r="M16" s="1670"/>
      <c r="N16" s="2243"/>
      <c r="O16" s="1670"/>
      <c r="P16" s="2243"/>
      <c r="Q16" s="2243"/>
      <c r="R16" s="2243"/>
    </row>
    <row r="17" spans="1:28">
      <c r="A17" s="305" t="s">
        <v>2195</v>
      </c>
      <c r="B17" s="294" t="s">
        <v>2196</v>
      </c>
      <c r="C17" s="8">
        <f>'数据-汇总表'!E3</f>
        <v>32.74</v>
      </c>
      <c r="D17" s="1256" t="s">
        <v>2197</v>
      </c>
      <c r="E17" s="3240" t="s">
        <v>2198</v>
      </c>
      <c r="F17" s="3241"/>
      <c r="G17" s="3241"/>
      <c r="H17" s="3241"/>
      <c r="I17" s="3242"/>
      <c r="J17" s="2243"/>
      <c r="K17" s="2402"/>
      <c r="L17" s="1670"/>
      <c r="M17" s="1670"/>
      <c r="N17" s="2243"/>
      <c r="O17" s="1670"/>
      <c r="P17" s="2243"/>
      <c r="Q17" s="2243"/>
      <c r="R17" s="2243"/>
      <c r="S17" s="2243"/>
      <c r="T17" s="2243"/>
      <c r="U17" s="2243"/>
      <c r="V17" s="2243"/>
    </row>
    <row r="18" spans="1:28" ht="24.75" thickBot="1">
      <c r="A18" s="2221" t="s">
        <v>2199</v>
      </c>
      <c r="B18" s="1027" t="s">
        <v>2200</v>
      </c>
      <c r="C18" s="2222">
        <f>'数据-汇总表'!D3</f>
        <v>0</v>
      </c>
      <c r="D18" s="1029" t="s">
        <v>2201</v>
      </c>
      <c r="E18" s="3243" t="s">
        <v>2202</v>
      </c>
      <c r="F18" s="3244"/>
      <c r="G18" s="3244"/>
      <c r="H18" s="3244"/>
      <c r="I18" s="3245"/>
      <c r="J18" s="2243"/>
      <c r="K18" s="2402"/>
      <c r="L18" s="1670"/>
      <c r="M18" s="1670"/>
      <c r="N18" s="2243"/>
      <c r="O18" s="1670"/>
      <c r="P18" s="2243"/>
      <c r="Q18" s="2243"/>
      <c r="R18" s="2243"/>
      <c r="S18" s="2243"/>
      <c r="T18" s="2243"/>
      <c r="U18" s="2243"/>
      <c r="V18" s="2243"/>
    </row>
    <row r="19" spans="1:28" ht="37.5" thickTop="1" thickBot="1">
      <c r="A19" s="319" t="s">
        <v>1055</v>
      </c>
      <c r="B19" s="299" t="s">
        <v>2203</v>
      </c>
      <c r="C19" s="1455"/>
      <c r="D19" s="1456" t="s">
        <v>2204</v>
      </c>
      <c r="E19" s="1457"/>
      <c r="F19" s="1458" t="str">
        <f>IF(AND(C19="是",E19="否"),"是否提供他项权证或相关说明","")</f>
        <v/>
      </c>
      <c r="G19" s="1459"/>
      <c r="H19" s="2440"/>
      <c r="I19" s="2440"/>
      <c r="J19" s="2243"/>
      <c r="K19" s="2400"/>
      <c r="L19" s="2397"/>
      <c r="M19" s="2397"/>
      <c r="N19" s="2243"/>
      <c r="O19" s="1670"/>
      <c r="P19" s="2243"/>
      <c r="Q19" s="2243"/>
      <c r="R19" s="2243"/>
      <c r="S19" s="2243"/>
      <c r="T19" s="2243"/>
      <c r="U19" s="2243"/>
      <c r="V19" s="2243"/>
    </row>
    <row r="20" spans="1:28">
      <c r="A20" s="2415" t="s">
        <v>2205</v>
      </c>
      <c r="B20" s="3230" t="s">
        <v>2206</v>
      </c>
      <c r="C20" s="3231"/>
      <c r="D20" s="3232" t="s">
        <v>2207</v>
      </c>
      <c r="E20" s="3233"/>
      <c r="F20" s="2428" t="s">
        <v>1056</v>
      </c>
      <c r="G20" s="2440"/>
      <c r="H20" s="2440"/>
      <c r="I20" s="2440"/>
      <c r="J20" s="2243"/>
      <c r="K20" s="322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82"/>
      <c r="N20" s="2180"/>
      <c r="O20" s="1466"/>
      <c r="P20" s="2180"/>
      <c r="Q20" s="2180"/>
      <c r="R20" s="2180"/>
      <c r="S20" s="2180"/>
      <c r="T20" s="2180"/>
      <c r="U20" s="2180"/>
      <c r="V20" s="2180"/>
      <c r="W20" s="1618"/>
      <c r="X20" s="1618"/>
      <c r="Y20" s="1618"/>
      <c r="Z20" s="1618"/>
      <c r="AA20" s="1618"/>
      <c r="AB20" s="1618"/>
    </row>
    <row r="21" spans="1:28" ht="24.75" thickBot="1">
      <c r="A21" s="2415"/>
      <c r="B21" s="2416" t="s">
        <v>2209</v>
      </c>
      <c r="C21" s="2294" t="s">
        <v>1057</v>
      </c>
      <c r="D21" s="1460" t="s">
        <v>2210</v>
      </c>
      <c r="E21" s="2417" t="s">
        <v>1057</v>
      </c>
      <c r="F21" s="2429"/>
      <c r="G21" s="2440"/>
      <c r="H21" s="2440"/>
      <c r="I21" s="2440"/>
      <c r="J21" s="2243"/>
      <c r="K21" s="322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2"/>
      <c r="N21" s="2180"/>
      <c r="O21" s="1466"/>
      <c r="P21" s="2180"/>
      <c r="Q21" s="2180"/>
      <c r="R21" s="2180"/>
      <c r="S21" s="2180"/>
      <c r="T21" s="2180"/>
      <c r="U21" s="2180"/>
      <c r="V21" s="2180"/>
      <c r="W21" s="1618"/>
      <c r="X21" s="1618"/>
      <c r="Y21" s="1618"/>
      <c r="Z21" s="1618"/>
      <c r="AA21" s="1618"/>
      <c r="AB21" s="1618"/>
    </row>
    <row r="22" spans="1:28" ht="24.75" thickBot="1">
      <c r="A22" s="2415"/>
      <c r="B22" s="2418" t="s">
        <v>2211</v>
      </c>
      <c r="C22" s="2294" t="s">
        <v>1058</v>
      </c>
      <c r="D22" s="2440"/>
      <c r="E22" s="2440"/>
      <c r="F22" s="2440"/>
      <c r="G22" s="2440"/>
      <c r="H22" s="2440"/>
      <c r="I22" s="2440"/>
      <c r="J22" s="2243"/>
      <c r="K22" s="322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2"/>
      <c r="N22" s="2180"/>
      <c r="O22" s="1466"/>
      <c r="P22" s="2180"/>
      <c r="Q22" s="2180"/>
      <c r="R22" s="2180"/>
      <c r="S22" s="2180"/>
      <c r="T22" s="2180"/>
      <c r="U22" s="2180"/>
      <c r="V22" s="2180"/>
      <c r="W22" s="1618"/>
      <c r="X22" s="1618"/>
      <c r="Y22" s="1618"/>
      <c r="Z22" s="1618"/>
      <c r="AA22" s="1618"/>
      <c r="AB22" s="1618"/>
    </row>
    <row r="23" spans="1:28">
      <c r="A23" s="2419" t="s">
        <v>2212</v>
      </c>
      <c r="B23" s="2291" t="s">
        <v>2213</v>
      </c>
      <c r="C23" s="2420"/>
      <c r="D23" s="2421" t="s">
        <v>2213</v>
      </c>
      <c r="E23" s="2422"/>
      <c r="F23" s="2440"/>
      <c r="G23" s="2440"/>
      <c r="H23" s="2440"/>
      <c r="I23" s="2440"/>
      <c r="J23" s="2243"/>
      <c r="K23" s="2399"/>
      <c r="L23" s="121"/>
      <c r="M23" s="2397"/>
      <c r="N23" s="2243"/>
      <c r="O23" s="1670"/>
      <c r="P23" s="2243"/>
      <c r="Q23" s="2243"/>
      <c r="R23" s="2243"/>
      <c r="S23" s="2243"/>
      <c r="T23" s="2243"/>
      <c r="U23" s="2243"/>
      <c r="V23" s="2243"/>
    </row>
    <row r="24" spans="1:28">
      <c r="A24" s="2419"/>
      <c r="B24" s="2291" t="s">
        <v>1059</v>
      </c>
      <c r="C24" s="2269"/>
      <c r="D24" s="2419" t="s">
        <v>1059</v>
      </c>
      <c r="E24" s="2423"/>
      <c r="F24" s="2440"/>
      <c r="G24" s="2440"/>
      <c r="H24" s="2440"/>
      <c r="I24" s="2440"/>
      <c r="J24" s="2243"/>
      <c r="K24" s="2399"/>
      <c r="L24" s="121"/>
      <c r="M24" s="2397"/>
      <c r="N24" s="2243"/>
      <c r="O24" s="1670"/>
      <c r="P24" s="2243"/>
      <c r="Q24" s="2243"/>
      <c r="R24" s="2243"/>
      <c r="S24" s="2243"/>
      <c r="T24" s="2243"/>
      <c r="U24" s="2243"/>
      <c r="V24" s="2243"/>
    </row>
    <row r="25" spans="1:28">
      <c r="A25" s="2419"/>
      <c r="B25" s="2291" t="s">
        <v>1060</v>
      </c>
      <c r="C25" s="2269"/>
      <c r="D25" s="2419" t="s">
        <v>1060</v>
      </c>
      <c r="E25" s="2423"/>
      <c r="F25" s="2440"/>
      <c r="G25" s="2440"/>
      <c r="H25" s="2440"/>
      <c r="I25" s="2440"/>
      <c r="J25" s="2243"/>
      <c r="K25" s="2400"/>
      <c r="L25" s="2397"/>
      <c r="M25" s="2397"/>
      <c r="N25" s="2243"/>
      <c r="O25" s="1670"/>
      <c r="P25" s="2243"/>
      <c r="Q25" s="2243"/>
      <c r="R25" s="2243"/>
      <c r="S25" s="2243"/>
      <c r="T25" s="2243"/>
      <c r="U25" s="2243"/>
      <c r="V25" s="2243"/>
    </row>
    <row r="26" spans="1:28" ht="13.5" thickBot="1">
      <c r="A26" s="2424"/>
      <c r="B26" s="2425" t="s">
        <v>1061</v>
      </c>
      <c r="C26" s="2426"/>
      <c r="D26" s="2424" t="s">
        <v>1061</v>
      </c>
      <c r="E26" s="2427"/>
      <c r="F26" s="2441"/>
      <c r="G26" s="2441"/>
      <c r="H26" s="2441"/>
      <c r="I26" s="2441"/>
      <c r="J26" s="2243"/>
      <c r="K26" s="2400"/>
      <c r="L26" s="2397"/>
      <c r="M26" s="2397"/>
      <c r="N26" s="2243"/>
      <c r="O26" s="1670"/>
      <c r="P26" s="2243"/>
      <c r="Q26" s="2243"/>
      <c r="R26" s="2243"/>
      <c r="S26" s="2243"/>
      <c r="T26" s="2243"/>
      <c r="U26" s="2243"/>
      <c r="V26" s="2243"/>
    </row>
    <row r="27" spans="1:28" ht="13.5" thickTop="1">
      <c r="A27" s="3247" t="s">
        <v>2214</v>
      </c>
      <c r="B27" s="312" t="s">
        <v>2215</v>
      </c>
      <c r="C27" s="2223"/>
      <c r="D27" s="2224"/>
      <c r="E27" s="2440"/>
      <c r="F27" s="2440"/>
      <c r="G27" s="2440"/>
      <c r="H27" s="2440"/>
      <c r="I27" s="2440"/>
      <c r="J27" s="2243"/>
      <c r="K27" s="2401"/>
      <c r="L27" s="1670"/>
      <c r="M27" s="1670"/>
      <c r="N27" s="2243"/>
      <c r="O27" s="1670"/>
      <c r="P27" s="2243"/>
      <c r="Q27" s="2243"/>
      <c r="R27" s="2243"/>
      <c r="S27" s="2243"/>
      <c r="T27" s="2243"/>
      <c r="U27" s="2243"/>
      <c r="V27" s="2243"/>
    </row>
    <row r="28" spans="1:28">
      <c r="A28" s="3247"/>
      <c r="B28" s="294" t="s">
        <v>2216</v>
      </c>
      <c r="C28" s="2225"/>
      <c r="D28" s="2226"/>
      <c r="E28" s="2440"/>
      <c r="F28" s="2440"/>
      <c r="G28" s="2440"/>
      <c r="H28" s="2440"/>
      <c r="I28" s="2440"/>
      <c r="J28" s="2243"/>
      <c r="K28" s="2400"/>
      <c r="L28" s="2397"/>
      <c r="M28" s="2397"/>
      <c r="N28" s="2243"/>
      <c r="O28" s="1670"/>
      <c r="P28" s="2243"/>
      <c r="Q28" s="2243"/>
      <c r="R28" s="2243"/>
      <c r="S28" s="2243"/>
      <c r="T28" s="2243"/>
      <c r="U28" s="2243"/>
      <c r="V28" s="2243"/>
    </row>
    <row r="29" spans="1:28">
      <c r="A29" s="3247"/>
      <c r="B29" s="294" t="s">
        <v>2217</v>
      </c>
      <c r="C29" s="2227"/>
      <c r="D29" s="2228"/>
      <c r="E29" s="2440"/>
      <c r="F29" s="2440"/>
      <c r="G29" s="2440"/>
      <c r="H29" s="2440"/>
      <c r="I29" s="2440"/>
      <c r="J29" s="2243"/>
      <c r="K29" s="2400"/>
      <c r="L29" s="2397"/>
      <c r="M29" s="2397"/>
      <c r="N29" s="2243"/>
      <c r="O29" s="1670"/>
      <c r="P29" s="2243"/>
      <c r="Q29" s="2243"/>
      <c r="R29" s="2243"/>
      <c r="S29" s="2243"/>
      <c r="T29" s="2243"/>
      <c r="U29" s="2243"/>
      <c r="V29" s="2243"/>
    </row>
    <row r="30" spans="1:28">
      <c r="A30" s="3248"/>
      <c r="B30" s="294" t="s">
        <v>2218</v>
      </c>
      <c r="C30" s="3249"/>
      <c r="D30" s="3250"/>
      <c r="E30" s="2440"/>
      <c r="F30" s="2440"/>
      <c r="G30" s="2440"/>
      <c r="H30" s="2440"/>
      <c r="I30" s="2440"/>
      <c r="J30" s="2243"/>
      <c r="K30" s="2400"/>
      <c r="L30" s="2397"/>
      <c r="M30" s="2397"/>
      <c r="N30" s="2243"/>
      <c r="O30" s="1670"/>
      <c r="P30" s="2243"/>
      <c r="Q30" s="2243"/>
      <c r="R30" s="2243"/>
      <c r="S30" s="2243"/>
      <c r="T30" s="2243"/>
      <c r="U30" s="2243"/>
      <c r="V30" s="2243"/>
    </row>
    <row r="31" spans="1:28">
      <c r="A31" s="3251" t="s">
        <v>2219</v>
      </c>
      <c r="B31" s="2229"/>
      <c r="C31" s="12" t="str">
        <f>IF(B31="现房","成新及维护状况正常否",IF(B31="在建","工程状态是否正常",IF(B31="土地","是否闲置","-")))</f>
        <v>-</v>
      </c>
      <c r="D31" s="1281"/>
      <c r="E31" s="2230"/>
      <c r="F31" s="2440"/>
      <c r="G31" s="2440"/>
      <c r="H31" s="2440"/>
      <c r="I31" s="2440"/>
      <c r="J31" s="2243"/>
      <c r="K31" s="2399"/>
      <c r="L31" s="2397"/>
      <c r="M31" s="2397"/>
      <c r="N31" s="2243"/>
      <c r="O31" s="1670"/>
      <c r="P31" s="2243"/>
      <c r="Q31" s="2243"/>
      <c r="R31" s="2243"/>
      <c r="S31" s="2243"/>
      <c r="T31" s="2243"/>
      <c r="U31" s="2243"/>
      <c r="V31" s="2243"/>
    </row>
    <row r="32" spans="1:28">
      <c r="A32" s="3252"/>
      <c r="B32" s="2229"/>
      <c r="C32" s="12" t="str">
        <f>IF(B32="现房","成新及维护状况是否正常",IF(B32="在建","工程状态是否正常",IF(B32="土地","是否闲置","-")))</f>
        <v>-</v>
      </c>
      <c r="D32" s="1281"/>
      <c r="E32" s="2230"/>
      <c r="F32" s="2440"/>
      <c r="G32" s="2440"/>
      <c r="H32" s="2440"/>
      <c r="I32" s="2440"/>
      <c r="J32" s="2243"/>
      <c r="K32" s="2400"/>
      <c r="L32" s="2397"/>
      <c r="M32" s="2397"/>
      <c r="N32" s="2243"/>
      <c r="O32" s="1670"/>
      <c r="P32" s="2243"/>
      <c r="Q32" s="2243"/>
      <c r="R32" s="2243"/>
      <c r="S32" s="2243"/>
      <c r="T32" s="2243"/>
      <c r="U32" s="2243"/>
      <c r="V32" s="2243"/>
    </row>
    <row r="33" spans="1:30">
      <c r="A33" s="3252"/>
      <c r="B33" s="2232"/>
      <c r="C33" s="1478" t="str">
        <f>IF(B33="现房","成新及维护状况是否正常",IF(B33="在建","工程状态是否正常",IF(B33="土地","是否闲置","-")))</f>
        <v>-</v>
      </c>
      <c r="D33" s="1274"/>
      <c r="E33" s="2233"/>
      <c r="F33" s="2440"/>
      <c r="G33" s="2440"/>
      <c r="H33" s="2440"/>
      <c r="I33" s="2440"/>
      <c r="J33" s="2243"/>
      <c r="K33" s="2400"/>
      <c r="L33" s="2397"/>
      <c r="M33" s="2397"/>
      <c r="N33" s="2243"/>
      <c r="O33" s="1670"/>
      <c r="P33" s="2243"/>
      <c r="Q33" s="2243"/>
      <c r="R33" s="2243"/>
      <c r="S33" s="2243"/>
      <c r="T33" s="2243"/>
      <c r="U33" s="2243"/>
      <c r="V33" s="2243"/>
    </row>
    <row r="34" spans="1:30">
      <c r="A34" s="294" t="s">
        <v>2220</v>
      </c>
      <c r="B34" s="1868"/>
      <c r="C34" s="1868"/>
      <c r="D34" s="1868"/>
      <c r="E34" s="1868"/>
      <c r="F34" s="1868"/>
      <c r="G34" s="1868"/>
      <c r="H34" s="1868"/>
      <c r="I34" s="2440"/>
      <c r="J34" s="2243"/>
      <c r="K34" s="8">
        <f>COUNTIF(B34:H34,"——")</f>
        <v>0</v>
      </c>
      <c r="L34" s="315" t="s">
        <v>2221</v>
      </c>
      <c r="M34" s="315" t="s">
        <v>2222</v>
      </c>
      <c r="N34" s="315" t="s">
        <v>2223</v>
      </c>
      <c r="O34" s="315" t="s">
        <v>2224</v>
      </c>
      <c r="P34" s="315" t="s">
        <v>2225</v>
      </c>
      <c r="Q34" s="315" t="s">
        <v>2226</v>
      </c>
      <c r="R34" s="315" t="s">
        <v>2227</v>
      </c>
      <c r="S34" s="3246" t="s">
        <v>2228</v>
      </c>
      <c r="T34" s="315" t="str">
        <f>NUMBERSTRING(7-K34,1)&amp;"通"</f>
        <v>七通</v>
      </c>
      <c r="U34" s="2243"/>
      <c r="V34" s="2243"/>
    </row>
    <row r="35" spans="1:30">
      <c r="A35" s="2234"/>
      <c r="B35" s="3246" t="s">
        <v>2229</v>
      </c>
      <c r="C35" s="3246"/>
      <c r="D35" s="3246"/>
      <c r="E35" s="3246"/>
      <c r="F35" s="8">
        <f>C10</f>
        <v>0</v>
      </c>
      <c r="G35" s="2440"/>
      <c r="H35" s="2440"/>
      <c r="I35" s="2440"/>
      <c r="J35" s="2243"/>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6"/>
      <c r="T35" s="138" t="str">
        <f>IF(T34="一通",L35,IF(T34="二通",M35,IF(T34="三通",N35,IF(T34="四通",O35,IF(T34="五通",P35,IF(T34="六通",Q35,R35))))))</f>
        <v>、、、、、、</v>
      </c>
      <c r="U35" s="2243"/>
      <c r="V35" s="2243"/>
    </row>
    <row r="36" spans="1:30">
      <c r="A36" s="2181"/>
      <c r="B36" s="8" t="s">
        <v>2185</v>
      </c>
      <c r="C36" s="8" t="s">
        <v>2186</v>
      </c>
      <c r="D36" s="8" t="s">
        <v>2184</v>
      </c>
      <c r="E36" s="8" t="s">
        <v>2189</v>
      </c>
      <c r="F36" s="2799" t="s">
        <v>2579</v>
      </c>
      <c r="G36" s="2440"/>
      <c r="H36" s="2440"/>
      <c r="I36" s="2440"/>
      <c r="J36" s="2243"/>
      <c r="K36" s="2400"/>
      <c r="L36" s="2397"/>
      <c r="M36" s="2397"/>
      <c r="N36" s="2243"/>
      <c r="O36" s="1670"/>
      <c r="P36" s="2243"/>
      <c r="Q36" s="2243"/>
      <c r="R36" s="2243"/>
      <c r="S36" s="2243"/>
      <c r="T36" s="2243"/>
      <c r="U36" s="2243"/>
      <c r="V36" s="2243"/>
    </row>
    <row r="37" spans="1:30">
      <c r="A37" s="2413" t="s">
        <v>2230</v>
      </c>
      <c r="B37" s="2235" t="s">
        <v>303</v>
      </c>
      <c r="C37" s="2235" t="s">
        <v>303</v>
      </c>
      <c r="D37" s="2235"/>
      <c r="E37" s="2235"/>
      <c r="F37" s="2235"/>
      <c r="G37" s="2440"/>
      <c r="H37" s="2440"/>
      <c r="I37" s="2440"/>
      <c r="J37" s="2243"/>
      <c r="K37" s="2400"/>
      <c r="L37" s="2397"/>
      <c r="M37" s="2397"/>
      <c r="N37" s="2243"/>
      <c r="O37" s="1670"/>
      <c r="P37" s="2243"/>
      <c r="Q37" s="2243"/>
      <c r="R37" s="2243"/>
      <c r="S37" s="2243"/>
      <c r="T37" s="2243"/>
      <c r="U37" s="2243"/>
      <c r="V37" s="2243"/>
    </row>
    <row r="38" spans="1:30" ht="13.5" thickBot="1">
      <c r="A38" s="2414" t="s">
        <v>2231</v>
      </c>
      <c r="B38" s="2236" t="s">
        <v>211</v>
      </c>
      <c r="C38" s="2236" t="s">
        <v>211</v>
      </c>
      <c r="D38" s="2236"/>
      <c r="E38" s="2236"/>
      <c r="F38" s="2236"/>
      <c r="G38" s="2441"/>
      <c r="H38" s="2441"/>
      <c r="I38" s="2441"/>
      <c r="J38" s="2243"/>
      <c r="K38" s="2400"/>
      <c r="L38" s="2397"/>
      <c r="M38" s="2397"/>
      <c r="N38" s="2243"/>
      <c r="O38" s="1670"/>
      <c r="P38" s="2243"/>
      <c r="Q38" s="2243"/>
      <c r="R38" s="2243"/>
      <c r="S38" s="2243"/>
      <c r="T38" s="2243"/>
      <c r="U38" s="2243"/>
      <c r="V38" s="2243"/>
    </row>
    <row r="39" spans="1:30" s="2239" customFormat="1" ht="14.25" thickTop="1" thickBot="1">
      <c r="A39" s="2237" t="s">
        <v>2232</v>
      </c>
      <c r="B39" s="2238"/>
      <c r="C39" s="2238"/>
      <c r="D39" s="2238"/>
      <c r="E39" s="2238"/>
      <c r="F39" s="2238"/>
      <c r="G39" s="2238"/>
      <c r="H39" s="2238"/>
      <c r="I39" s="2238"/>
      <c r="J39" s="2405"/>
      <c r="K39" s="2406"/>
      <c r="L39" s="2405"/>
      <c r="M39" s="2405"/>
      <c r="N39" s="2405"/>
      <c r="O39" s="2407"/>
      <c r="P39" s="2405"/>
      <c r="Q39" s="2405"/>
      <c r="R39" s="2405"/>
      <c r="S39" s="2405"/>
      <c r="T39" s="2405"/>
      <c r="U39" s="2405"/>
      <c r="V39" s="2405"/>
      <c r="W39" s="2408"/>
      <c r="X39" s="2408"/>
      <c r="Y39" s="2408"/>
      <c r="Z39" s="2408"/>
      <c r="AA39" s="2408"/>
      <c r="AB39" s="2408"/>
      <c r="AC39" s="2408"/>
      <c r="AD39" s="2408"/>
    </row>
    <row r="40" spans="1:30">
      <c r="A40" s="2180"/>
      <c r="B40" s="2180"/>
      <c r="C40" s="2180"/>
      <c r="D40" s="2180"/>
      <c r="E40" s="2180"/>
      <c r="F40" s="2180"/>
      <c r="G40" s="2180"/>
      <c r="H40" s="2180"/>
      <c r="I40" s="1466"/>
      <c r="J40" s="2243"/>
      <c r="K40" s="2399"/>
      <c r="L40" s="1670"/>
      <c r="M40" s="1670"/>
      <c r="N40" s="2243"/>
      <c r="O40" s="1670"/>
      <c r="P40" s="2243"/>
      <c r="Q40" s="2243"/>
      <c r="R40" s="2243"/>
      <c r="S40" s="2243"/>
      <c r="T40" s="2243"/>
      <c r="U40" s="2243"/>
      <c r="V40" s="2243"/>
    </row>
    <row r="41" spans="1:30">
      <c r="A41" s="2240" t="s">
        <v>2233</v>
      </c>
      <c r="B41" s="1627"/>
      <c r="C41" s="1281"/>
      <c r="D41" s="2180"/>
      <c r="E41" s="2180"/>
      <c r="F41" s="2180"/>
      <c r="G41" s="2180"/>
      <c r="H41" s="2180"/>
      <c r="I41" s="1466"/>
      <c r="J41" s="2243"/>
      <c r="K41" s="2400"/>
      <c r="L41" s="2397"/>
      <c r="M41" s="2397"/>
      <c r="N41" s="2243"/>
      <c r="O41" s="1670"/>
      <c r="P41" s="2243"/>
      <c r="Q41" s="2243"/>
      <c r="R41" s="2243"/>
      <c r="S41" s="2243"/>
      <c r="T41" s="2243"/>
      <c r="U41" s="2243"/>
      <c r="V41" s="2243"/>
    </row>
    <row r="42" spans="1:30" ht="25.5">
      <c r="A42" s="315" t="s">
        <v>2234</v>
      </c>
      <c r="B42" s="8" t="s">
        <v>2235</v>
      </c>
      <c r="C42" s="8" t="s">
        <v>2236</v>
      </c>
      <c r="D42" s="8" t="s">
        <v>2237</v>
      </c>
      <c r="E42" s="8" t="s">
        <v>2238</v>
      </c>
      <c r="F42" s="8" t="s">
        <v>2239</v>
      </c>
      <c r="G42" s="8" t="s">
        <v>2240</v>
      </c>
      <c r="H42" s="8" t="s">
        <v>2241</v>
      </c>
      <c r="I42" s="8" t="s">
        <v>2242</v>
      </c>
      <c r="J42" s="2409" t="s">
        <v>2243</v>
      </c>
      <c r="K42" s="2410" t="s">
        <v>2244</v>
      </c>
      <c r="L42" s="2410" t="s">
        <v>2245</v>
      </c>
      <c r="M42" s="2410" t="s">
        <v>2246</v>
      </c>
      <c r="N42" s="2403" t="s">
        <v>2247</v>
      </c>
      <c r="O42" s="2403" t="s">
        <v>2248</v>
      </c>
      <c r="P42" s="2403" t="s">
        <v>2249</v>
      </c>
      <c r="Q42" s="2404" t="s">
        <v>2250</v>
      </c>
      <c r="R42" s="2404" t="s">
        <v>2251</v>
      </c>
      <c r="S42" s="2243"/>
      <c r="T42" s="2243"/>
      <c r="U42" s="2243"/>
      <c r="V42" s="2243"/>
    </row>
    <row r="43" spans="1:30" s="1616" customFormat="1">
      <c r="A43" s="1462"/>
      <c r="B43" s="628"/>
      <c r="C43" s="628"/>
      <c r="D43" s="628"/>
      <c r="E43" s="628"/>
      <c r="F43" s="628"/>
      <c r="G43" s="628"/>
      <c r="H43" s="628"/>
      <c r="I43" s="628"/>
      <c r="J43" s="2241"/>
      <c r="K43" s="2242"/>
      <c r="L43" s="2242"/>
      <c r="M43" s="628"/>
      <c r="N43" s="628"/>
      <c r="O43" s="628"/>
      <c r="P43" s="628"/>
      <c r="Q43" s="628"/>
      <c r="R43" s="628"/>
      <c r="S43" s="2243"/>
      <c r="T43" s="2243"/>
      <c r="U43" s="2243"/>
      <c r="V43" s="2243"/>
    </row>
    <row r="44" spans="1:30" s="1616" customFormat="1">
      <c r="A44" s="1462"/>
      <c r="B44" s="1462"/>
      <c r="C44" s="628"/>
      <c r="D44" s="628"/>
      <c r="E44" s="628"/>
      <c r="F44" s="628"/>
      <c r="G44" s="628"/>
      <c r="H44" s="628"/>
      <c r="I44" s="628"/>
      <c r="J44" s="2241"/>
      <c r="K44" s="2242"/>
      <c r="L44" s="2242"/>
      <c r="M44" s="628"/>
      <c r="N44" s="628"/>
      <c r="O44" s="628"/>
      <c r="P44" s="628"/>
      <c r="Q44" s="628"/>
      <c r="R44" s="628"/>
      <c r="S44" s="2243"/>
      <c r="T44" s="2243"/>
      <c r="U44" s="2243"/>
      <c r="V44" s="2243"/>
    </row>
    <row r="45" spans="1:30" s="1616" customFormat="1">
      <c r="A45" s="1462"/>
      <c r="B45" s="1462"/>
      <c r="C45" s="628"/>
      <c r="D45" s="628"/>
      <c r="E45" s="628"/>
      <c r="F45" s="628"/>
      <c r="G45" s="628"/>
      <c r="H45" s="628"/>
      <c r="I45" s="628"/>
      <c r="J45" s="2241"/>
      <c r="K45" s="2242"/>
      <c r="L45" s="2242"/>
      <c r="M45" s="628"/>
      <c r="N45" s="628"/>
      <c r="O45" s="628"/>
      <c r="P45" s="628"/>
      <c r="Q45" s="628"/>
      <c r="R45" s="628"/>
      <c r="S45" s="2243"/>
      <c r="T45" s="2243"/>
      <c r="U45" s="2243"/>
      <c r="V45" s="2243"/>
    </row>
    <row r="46" spans="1:30" s="1616" customFormat="1">
      <c r="A46" s="1462"/>
      <c r="B46" s="1462"/>
      <c r="C46" s="628"/>
      <c r="D46" s="628"/>
      <c r="E46" s="628"/>
      <c r="F46" s="628"/>
      <c r="G46" s="628"/>
      <c r="H46" s="628"/>
      <c r="I46" s="628"/>
      <c r="J46" s="2241"/>
      <c r="K46" s="2242"/>
      <c r="L46" s="2242"/>
      <c r="M46" s="628"/>
      <c r="N46" s="628"/>
      <c r="O46" s="628"/>
      <c r="P46" s="628"/>
      <c r="Q46" s="628"/>
      <c r="R46" s="628"/>
      <c r="S46" s="2243"/>
      <c r="T46" s="2243"/>
      <c r="U46" s="2243"/>
      <c r="V46" s="2243"/>
    </row>
    <row r="47" spans="1:30" s="1616" customFormat="1">
      <c r="A47" s="1462"/>
      <c r="B47" s="1462"/>
      <c r="C47" s="628"/>
      <c r="D47" s="628"/>
      <c r="E47" s="628"/>
      <c r="F47" s="628"/>
      <c r="G47" s="628"/>
      <c r="H47" s="628"/>
      <c r="I47" s="628"/>
      <c r="J47" s="2241"/>
      <c r="K47" s="2242"/>
      <c r="L47" s="2242"/>
      <c r="M47" s="628"/>
      <c r="N47" s="628"/>
      <c r="O47" s="628"/>
      <c r="P47" s="628"/>
      <c r="Q47" s="628"/>
      <c r="R47" s="628"/>
      <c r="S47" s="2243"/>
      <c r="T47" s="2243"/>
      <c r="U47" s="2243"/>
      <c r="V47" s="2243"/>
    </row>
    <row r="48" spans="1:30" s="1616" customFormat="1">
      <c r="A48" s="1462"/>
      <c r="B48" s="1462"/>
      <c r="C48" s="628"/>
      <c r="D48" s="628"/>
      <c r="E48" s="628"/>
      <c r="F48" s="628"/>
      <c r="G48" s="628"/>
      <c r="H48" s="628"/>
      <c r="I48" s="628"/>
      <c r="J48" s="2241"/>
      <c r="K48" s="2242"/>
      <c r="L48" s="2242"/>
      <c r="M48" s="628"/>
      <c r="N48" s="628"/>
      <c r="O48" s="628"/>
      <c r="P48" s="628"/>
      <c r="Q48" s="628"/>
      <c r="R48" s="628"/>
      <c r="S48" s="2243"/>
      <c r="T48" s="2243"/>
      <c r="U48" s="2243"/>
      <c r="V48" s="2243"/>
    </row>
    <row r="49" spans="1:22" s="1616" customFormat="1">
      <c r="A49" s="1462"/>
      <c r="B49" s="1462"/>
      <c r="C49" s="628"/>
      <c r="D49" s="628"/>
      <c r="E49" s="628"/>
      <c r="F49" s="628"/>
      <c r="G49" s="628"/>
      <c r="H49" s="628"/>
      <c r="I49" s="628"/>
      <c r="J49" s="2241"/>
      <c r="K49" s="2242"/>
      <c r="L49" s="2242"/>
      <c r="M49" s="628"/>
      <c r="N49" s="628"/>
      <c r="O49" s="628"/>
      <c r="P49" s="628"/>
      <c r="Q49" s="628"/>
      <c r="R49" s="628"/>
      <c r="S49" s="2243"/>
      <c r="T49" s="2243"/>
      <c r="U49" s="2243"/>
      <c r="V49" s="2243"/>
    </row>
    <row r="50" spans="1:22" s="1616" customFormat="1">
      <c r="A50" s="1462"/>
      <c r="B50" s="1462"/>
      <c r="C50" s="628"/>
      <c r="D50" s="628"/>
      <c r="E50" s="628"/>
      <c r="F50" s="628"/>
      <c r="G50" s="628"/>
      <c r="H50" s="628"/>
      <c r="I50" s="628"/>
      <c r="J50" s="2241"/>
      <c r="K50" s="2242"/>
      <c r="L50" s="2242"/>
      <c r="M50" s="628"/>
      <c r="N50" s="628"/>
      <c r="O50" s="628"/>
      <c r="P50" s="628"/>
      <c r="Q50" s="628"/>
      <c r="R50" s="628"/>
      <c r="S50" s="2243"/>
      <c r="T50" s="2243"/>
      <c r="U50" s="2243"/>
      <c r="V50" s="2243"/>
    </row>
    <row r="51" spans="1:22" s="1616" customFormat="1">
      <c r="A51" s="1462"/>
      <c r="B51" s="1462"/>
      <c r="C51" s="628"/>
      <c r="D51" s="628"/>
      <c r="E51" s="628"/>
      <c r="F51" s="628"/>
      <c r="G51" s="628"/>
      <c r="H51" s="628"/>
      <c r="I51" s="628"/>
      <c r="J51" s="2241"/>
      <c r="K51" s="2242"/>
      <c r="L51" s="2242"/>
      <c r="M51" s="628"/>
      <c r="N51" s="628"/>
      <c r="O51" s="628"/>
      <c r="P51" s="628"/>
      <c r="Q51" s="628"/>
      <c r="R51" s="628"/>
    </row>
    <row r="52" spans="1:22" s="1616" customFormat="1">
      <c r="A52" s="1462"/>
      <c r="B52" s="1462"/>
      <c r="C52" s="1462"/>
      <c r="D52" s="1462"/>
      <c r="E52" s="1462"/>
      <c r="F52" s="628"/>
      <c r="G52" s="1462"/>
      <c r="H52" s="1462"/>
      <c r="I52" s="1462"/>
      <c r="J52" s="2244"/>
      <c r="K52" s="2242"/>
      <c r="L52" s="2242"/>
      <c r="M52" s="2242"/>
      <c r="N52" s="1462"/>
      <c r="O52" s="1462"/>
      <c r="P52" s="1462"/>
      <c r="Q52" s="1462"/>
      <c r="R52" s="1462"/>
    </row>
    <row r="53" spans="1:22" s="1616" customFormat="1">
      <c r="A53" s="1462"/>
      <c r="B53" s="1462"/>
      <c r="C53" s="1462"/>
      <c r="D53" s="1462"/>
      <c r="E53" s="1462"/>
      <c r="F53" s="628"/>
      <c r="G53" s="1462"/>
      <c r="H53" s="1462"/>
      <c r="I53" s="1462"/>
      <c r="J53" s="2244"/>
      <c r="K53" s="2242"/>
      <c r="L53" s="2242"/>
      <c r="M53" s="2242"/>
      <c r="N53" s="1462"/>
      <c r="O53" s="1462"/>
      <c r="P53" s="1462"/>
      <c r="Q53" s="1462"/>
      <c r="R53" s="1462"/>
    </row>
    <row r="54" spans="1:22" s="1616" customFormat="1">
      <c r="A54" s="1462"/>
      <c r="B54" s="1462"/>
      <c r="C54" s="1462"/>
      <c r="D54" s="1462"/>
      <c r="E54" s="1462"/>
      <c r="F54" s="628"/>
      <c r="G54" s="1462"/>
      <c r="H54" s="1462"/>
      <c r="I54" s="1462"/>
      <c r="J54" s="2244"/>
      <c r="K54" s="2242"/>
      <c r="L54" s="2242"/>
      <c r="M54" s="2242"/>
      <c r="N54" s="1462"/>
      <c r="O54" s="1462"/>
      <c r="P54" s="1462"/>
      <c r="Q54" s="1462"/>
      <c r="R54" s="1462"/>
    </row>
    <row r="55" spans="1:22" s="1616" customFormat="1">
      <c r="A55" s="1462"/>
      <c r="B55" s="1462"/>
      <c r="C55" s="1462"/>
      <c r="D55" s="1462"/>
      <c r="E55" s="1462"/>
      <c r="F55" s="628"/>
      <c r="G55" s="1462"/>
      <c r="H55" s="1462"/>
      <c r="I55" s="1462"/>
      <c r="J55" s="2244"/>
      <c r="K55" s="2242"/>
      <c r="L55" s="2242"/>
      <c r="M55" s="2242"/>
      <c r="N55" s="1462"/>
      <c r="O55" s="1462"/>
      <c r="P55" s="1462"/>
      <c r="Q55" s="1462"/>
      <c r="R55" s="1462"/>
    </row>
    <row r="56" spans="1:22" s="1616" customFormat="1">
      <c r="A56" s="1462"/>
      <c r="B56" s="1462"/>
      <c r="C56" s="1462"/>
      <c r="D56" s="1462"/>
      <c r="E56" s="1462"/>
      <c r="F56" s="628"/>
      <c r="G56" s="1462"/>
      <c r="H56" s="1462"/>
      <c r="I56" s="1462"/>
      <c r="J56" s="2244"/>
      <c r="K56" s="2242"/>
      <c r="L56" s="2242"/>
      <c r="M56" s="2242"/>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44" sqref="M44"/>
    </sheetView>
  </sheetViews>
  <sheetFormatPr defaultColWidth="8.875" defaultRowHeight="14.25"/>
  <cols>
    <col min="1" max="1" width="10.625" style="1463" customWidth="1"/>
    <col min="2" max="2" width="11" style="1463" customWidth="1"/>
    <col min="3" max="3" width="10.375" style="1463" customWidth="1"/>
    <col min="4" max="4" width="9.125" style="1463" customWidth="1"/>
    <col min="5" max="8" width="10" style="1463" customWidth="1"/>
    <col min="9" max="9" width="10.625" style="1463" customWidth="1"/>
    <col min="10" max="10" width="9.5" style="1463" customWidth="1"/>
    <col min="11" max="11" width="11" style="1463" customWidth="1"/>
    <col min="12" max="14" width="9.5" style="1463" customWidth="1"/>
    <col min="15" max="15" width="9.875" style="1463" customWidth="1"/>
    <col min="16" max="16" width="9.75" style="1463" customWidth="1"/>
    <col min="17" max="17" width="9.375" style="1463" customWidth="1"/>
    <col min="18" max="18" width="9.25" style="1463" customWidth="1"/>
    <col min="19" max="19" width="10.875" style="1463" customWidth="1"/>
    <col min="20" max="21" width="10.75" style="1463" customWidth="1"/>
    <col min="22" max="22" width="10.875" style="1463" customWidth="1"/>
    <col min="23" max="27" width="10.75" style="1463" customWidth="1"/>
    <col min="28" max="28" width="10.875" style="1463" customWidth="1"/>
    <col min="29" max="29" width="11" style="1463" bestFit="1" customWidth="1"/>
    <col min="30" max="30" width="10" style="1463" bestFit="1" customWidth="1"/>
    <col min="31" max="31" width="9.75" style="1463" customWidth="1"/>
    <col min="32" max="46" width="9.5" style="1463" customWidth="1"/>
    <col min="47" max="47" width="18.125" style="1463" customWidth="1"/>
    <col min="48" max="50" width="9.75" style="1463" customWidth="1"/>
    <col min="51" max="55" width="10.5" style="1463" bestFit="1" customWidth="1"/>
    <col min="56" max="56" width="9.5" style="1463" bestFit="1" customWidth="1"/>
    <col min="57" max="63" width="9.125" style="1463" bestFit="1" customWidth="1"/>
    <col min="64" max="64" width="9.5" style="1463" bestFit="1" customWidth="1"/>
    <col min="65" max="65" width="9.125" style="1463" bestFit="1" customWidth="1"/>
    <col min="66" max="66" width="9.5" style="1463" bestFit="1" customWidth="1"/>
    <col min="67" max="69" width="9.125" style="1463" bestFit="1" customWidth="1"/>
    <col min="70" max="70" width="9.5" style="1463" bestFit="1" customWidth="1"/>
    <col min="71" max="71" width="9" style="1463" customWidth="1"/>
    <col min="72" max="72" width="9.125" style="1463" bestFit="1" customWidth="1"/>
    <col min="73" max="16384" width="8.875" style="1463"/>
  </cols>
  <sheetData>
    <row r="1" spans="1:72" ht="20.25">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2.75">
      <c r="A3" s="10"/>
      <c r="B3" s="11">
        <f>IF(C3="否",G5-AT5,G5)</f>
        <v>32.74</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5"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2.75">
      <c r="A5" s="12" t="s">
        <v>1071</v>
      </c>
      <c r="B5" s="1259"/>
      <c r="C5" s="1259"/>
      <c r="D5" s="1260"/>
      <c r="E5" s="13" t="s">
        <v>0</v>
      </c>
      <c r="F5" s="13">
        <f>SUM(F13:F587)</f>
        <v>0</v>
      </c>
      <c r="G5" s="13">
        <f>SUM(G13:G587)</f>
        <v>32.74</v>
      </c>
      <c r="H5" s="13">
        <f t="shared" ref="H5:AT5" si="0">SUM(H13:H656)</f>
        <v>32.74</v>
      </c>
      <c r="I5" s="13">
        <f t="shared" si="0"/>
        <v>32.74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32.74</v>
      </c>
      <c r="BA5" s="15">
        <f t="shared" si="1"/>
        <v>32.74</v>
      </c>
      <c r="BB5" s="15">
        <f t="shared" si="1"/>
        <v>32.74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2.75">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4.75">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2.75">
      <c r="A9" s="1482"/>
      <c r="B9" s="1482"/>
      <c r="C9" s="1482"/>
      <c r="D9" s="1482"/>
      <c r="E9" s="1482"/>
      <c r="F9" s="1482"/>
      <c r="G9" s="1007"/>
      <c r="H9" s="1490" t="s">
        <v>1091</v>
      </c>
      <c r="I9" s="1491" t="s">
        <v>3465</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2.75">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2.75">
      <c r="A11" s="1482"/>
      <c r="B11" s="1482"/>
      <c r="C11" s="1482"/>
      <c r="D11" s="1482"/>
      <c r="E11" s="1482"/>
      <c r="F11" s="1482"/>
      <c r="G11" s="1007"/>
      <c r="H11" s="1499"/>
      <c r="I11" s="1502" t="s">
        <v>3470</v>
      </c>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2.75">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t="str">
        <f>I11</f>
        <v>跃层商住</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75">
      <c r="A13" s="628"/>
      <c r="B13" s="628"/>
      <c r="C13" s="628"/>
      <c r="D13" s="1513" t="s">
        <v>3466</v>
      </c>
      <c r="E13" s="13">
        <f>IF($C$3="是",ROUND($A$3*G13/$B$3,2),ROUND($A$3*(G13-AT13)/$B$3,2))</f>
        <v>0</v>
      </c>
      <c r="F13" s="29"/>
      <c r="G13" s="30">
        <f>H13+AC13+AT13</f>
        <v>32.74</v>
      </c>
      <c r="H13" s="17">
        <f>SUMIF(I$12:AB$12,"总值",I13:AB13)</f>
        <v>32.74</v>
      </c>
      <c r="I13" s="1514">
        <v>32.74</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0</v>
      </c>
      <c r="AY13" s="1260">
        <f>ROUND($AY$6*AZ13/$AZ$5,2)</f>
        <v>0</v>
      </c>
      <c r="AZ13" s="13">
        <f>BA13+BL13</f>
        <v>32.74</v>
      </c>
      <c r="BA13" s="13">
        <f>SUM(BB13:BK13)</f>
        <v>32.74</v>
      </c>
      <c r="BB13" s="13">
        <f>IF($D13="是",I13-J13,0)</f>
        <v>32.74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7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7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7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7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I8" sqref="I8"/>
    </sheetView>
  </sheetViews>
  <sheetFormatPr defaultColWidth="9.25" defaultRowHeight="14.25"/>
  <cols>
    <col min="1" max="1" width="12.125" style="1522" customWidth="1"/>
    <col min="2" max="2" width="10.25" style="1522" customWidth="1"/>
    <col min="3" max="3" width="18.5" style="1522" customWidth="1"/>
    <col min="4" max="4" width="11.625" style="1522" customWidth="1"/>
    <col min="5" max="5" width="13.375" style="1522" customWidth="1"/>
    <col min="6" max="8" width="11.5" style="1522" customWidth="1"/>
    <col min="9" max="9" width="11.125" style="1522" customWidth="1"/>
    <col min="10" max="10" width="3.125" style="1522" customWidth="1"/>
    <col min="11" max="16" width="10" style="1522" customWidth="1"/>
    <col min="17" max="17" width="2.625" style="1522" customWidth="1"/>
    <col min="18" max="18" width="9.375" style="1522" bestFit="1" customWidth="1"/>
    <col min="19" max="19" width="10.5" style="1522" bestFit="1" customWidth="1"/>
    <col min="20" max="16384" width="9.25" style="1522"/>
  </cols>
  <sheetData>
    <row r="1" spans="1:16" ht="19.5" thickBot="1">
      <c r="A1" s="1521" t="s">
        <v>1130</v>
      </c>
      <c r="B1" s="1071"/>
      <c r="C1" s="1071"/>
      <c r="D1" s="1071"/>
      <c r="E1" s="1071"/>
      <c r="F1" s="1071"/>
      <c r="G1" s="1071"/>
      <c r="H1" s="1071"/>
      <c r="I1" s="1071"/>
      <c r="J1" s="1071"/>
      <c r="K1" s="1071"/>
      <c r="L1" s="1071"/>
      <c r="M1" s="1071"/>
      <c r="N1" s="1071"/>
      <c r="O1" s="1071"/>
      <c r="P1" s="1071"/>
    </row>
    <row r="2" spans="1:16" ht="15">
      <c r="A2" s="3262" t="s">
        <v>1131</v>
      </c>
      <c r="B2" s="3262"/>
      <c r="C2" s="3262"/>
      <c r="D2" s="748" t="s">
        <v>1107</v>
      </c>
      <c r="E2" s="1523" t="s">
        <v>1108</v>
      </c>
      <c r="F2" s="2437"/>
      <c r="G2" s="2430"/>
      <c r="H2" s="2431"/>
      <c r="I2" s="2144" t="s">
        <v>1132</v>
      </c>
      <c r="J2" s="2437"/>
      <c r="K2" s="2437"/>
      <c r="L2" s="2437"/>
      <c r="M2" s="2437"/>
      <c r="N2" s="2438"/>
      <c r="O2" s="2437"/>
      <c r="P2" s="2437"/>
    </row>
    <row r="3" spans="1:16" ht="15.75" thickBot="1">
      <c r="A3" s="3263" t="s">
        <v>1105</v>
      </c>
      <c r="B3" s="3263"/>
      <c r="C3" s="3263"/>
      <c r="D3" s="41">
        <f>'数据-基础表'!AY6</f>
        <v>0</v>
      </c>
      <c r="E3" s="41">
        <f>'数据-基础表'!AZ5</f>
        <v>32.74</v>
      </c>
      <c r="F3" s="2437"/>
      <c r="G3" s="42"/>
      <c r="H3" s="43" t="s">
        <v>1106</v>
      </c>
      <c r="I3" s="802" t="e">
        <f>ROUND('数据-基础表'!B3/'数据-基础表'!A3,2)</f>
        <v>#DIV/0!</v>
      </c>
      <c r="J3" s="2437"/>
      <c r="K3" s="2437"/>
      <c r="L3" s="2437"/>
      <c r="M3" s="2437"/>
      <c r="N3" s="2438"/>
      <c r="O3" s="2437"/>
      <c r="P3" s="2437"/>
    </row>
    <row r="4" spans="1:16" ht="15">
      <c r="A4" s="3264"/>
      <c r="B4" s="3265"/>
      <c r="C4" s="3266"/>
      <c r="D4" s="1524" t="s">
        <v>1107</v>
      </c>
      <c r="E4" s="1525" t="s">
        <v>1108</v>
      </c>
      <c r="F4" s="2437"/>
      <c r="G4" s="2432" t="s">
        <v>1133</v>
      </c>
      <c r="H4" s="43" t="s">
        <v>1113</v>
      </c>
      <c r="I4" s="802" t="e">
        <f>ROUND(SUMIF('数据-基础表'!I9:AS9,"地上",'数据-基础表'!I5:AS5)/'数据-基础表'!A3,2)</f>
        <v>#DIV/0!</v>
      </c>
      <c r="J4" s="2437"/>
      <c r="K4" s="2437"/>
      <c r="L4" s="2437"/>
      <c r="M4" s="2437"/>
      <c r="N4" s="2438"/>
      <c r="O4" s="2437"/>
      <c r="P4" s="2437"/>
    </row>
    <row r="5" spans="1:16">
      <c r="A5" s="42" t="s">
        <v>1109</v>
      </c>
      <c r="B5" s="3267" t="s">
        <v>1110</v>
      </c>
      <c r="C5" s="3267"/>
      <c r="D5" s="43">
        <f>ROUND($D$3*E5/$E$3,2)</f>
        <v>0</v>
      </c>
      <c r="E5" s="44">
        <f>SUMIF('数据-基础表'!$11:$11,"住宅",'数据-基础表'!$5:$5)</f>
        <v>0</v>
      </c>
      <c r="F5" s="2437"/>
      <c r="G5" s="42"/>
      <c r="H5" s="43" t="s">
        <v>1106</v>
      </c>
      <c r="I5" s="802" t="e">
        <f>ROUND(E31/D31,2)</f>
        <v>#DIV/0!</v>
      </c>
      <c r="J5" s="2437"/>
      <c r="K5" s="2437"/>
      <c r="L5" s="2437"/>
      <c r="M5" s="2437"/>
      <c r="N5" s="2437"/>
      <c r="O5" s="2437"/>
      <c r="P5" s="2437"/>
    </row>
    <row r="6" spans="1:16" ht="15" thickBot="1">
      <c r="A6" s="1527"/>
      <c r="B6" s="3267" t="s">
        <v>1111</v>
      </c>
      <c r="C6" s="3267"/>
      <c r="D6" s="43">
        <f>ROUND($D$3*E6/$E$3,2)</f>
        <v>0</v>
      </c>
      <c r="E6" s="44">
        <f>E3-E5</f>
        <v>32.74</v>
      </c>
      <c r="F6" s="2437"/>
      <c r="G6" s="1529" t="s">
        <v>1112</v>
      </c>
      <c r="H6" s="45" t="s">
        <v>1113</v>
      </c>
      <c r="I6" s="2433" t="e">
        <f>ROUND(F31/D31,2)</f>
        <v>#DIV/0!</v>
      </c>
      <c r="J6" s="2437"/>
      <c r="K6" s="2437"/>
      <c r="L6" s="2437"/>
      <c r="M6" s="2437"/>
      <c r="N6" s="2437"/>
      <c r="O6" s="2437"/>
      <c r="P6" s="2437"/>
    </row>
    <row r="7" spans="1:16" ht="15.75" thickBot="1">
      <c r="A7" s="3259"/>
      <c r="B7" s="3260"/>
      <c r="C7" s="3261"/>
      <c r="D7" s="1524" t="s">
        <v>1107</v>
      </c>
      <c r="E7" s="1528" t="s">
        <v>1114</v>
      </c>
      <c r="F7" s="2437"/>
      <c r="G7" s="2434" t="s">
        <v>1115</v>
      </c>
      <c r="H7" s="95"/>
      <c r="I7" s="2435">
        <v>1.5</v>
      </c>
      <c r="J7" s="2437"/>
      <c r="K7" s="2437"/>
      <c r="L7" s="2437"/>
      <c r="M7" s="2437"/>
      <c r="N7" s="2437"/>
      <c r="O7" s="2437"/>
      <c r="P7" s="2437"/>
    </row>
    <row r="8" spans="1:16">
      <c r="A8" s="42" t="s">
        <v>1116</v>
      </c>
      <c r="B8" s="45" t="s">
        <v>1117</v>
      </c>
      <c r="C8" s="43" t="s">
        <v>1118</v>
      </c>
      <c r="D8" s="43">
        <f t="shared" ref="D8:D15" si="0">ROUND($D$3*E8/$E$3,2)</f>
        <v>0</v>
      </c>
      <c r="E8" s="46">
        <f>SUMIF('数据-基础表'!BB10:BK10,"地上",'数据-基础表'!BB5:BK5)</f>
        <v>32.74</v>
      </c>
      <c r="F8" s="2437"/>
      <c r="G8" s="2437"/>
      <c r="H8" s="2437"/>
      <c r="I8" s="2437"/>
      <c r="J8" s="2437"/>
      <c r="K8" s="2437"/>
      <c r="L8" s="2437"/>
      <c r="M8" s="2437"/>
      <c r="N8" s="2437"/>
      <c r="O8" s="2437"/>
      <c r="P8" s="2437"/>
    </row>
    <row r="9" spans="1:16">
      <c r="A9" s="1529"/>
      <c r="B9" s="1530"/>
      <c r="C9" s="43" t="s">
        <v>1119</v>
      </c>
      <c r="D9" s="43">
        <f t="shared" si="0"/>
        <v>0</v>
      </c>
      <c r="E9" s="47">
        <v>0</v>
      </c>
      <c r="F9" s="2437"/>
      <c r="G9" s="2437"/>
      <c r="H9" s="2437"/>
      <c r="I9" s="2437"/>
      <c r="J9" s="2437"/>
      <c r="K9" s="2437"/>
      <c r="L9" s="2437"/>
      <c r="M9" s="2437"/>
      <c r="N9" s="2437"/>
      <c r="O9" s="2437"/>
      <c r="P9" s="2437"/>
    </row>
    <row r="10" spans="1:16">
      <c r="A10" s="1529"/>
      <c r="B10" s="1530"/>
      <c r="C10" s="43" t="s">
        <v>1128</v>
      </c>
      <c r="D10" s="43">
        <f t="shared" si="0"/>
        <v>0</v>
      </c>
      <c r="E10" s="46">
        <f>SUMPRODUCT(('数据-基础表'!BB10:BK10="地下")*('数据-基础表'!BB11:BK11="商业")*('数据-基础表'!BB5:BK5))</f>
        <v>0</v>
      </c>
      <c r="F10" s="2437"/>
      <c r="G10" s="2437"/>
      <c r="H10" s="2437"/>
      <c r="I10" s="2437"/>
      <c r="J10" s="2437"/>
      <c r="K10" s="2437"/>
      <c r="L10" s="2437"/>
      <c r="M10" s="2437"/>
      <c r="N10" s="2437"/>
      <c r="O10" s="2437"/>
      <c r="P10" s="2437"/>
    </row>
    <row r="11" spans="1:16">
      <c r="A11" s="1529"/>
      <c r="B11" s="1530"/>
      <c r="C11" s="43" t="s">
        <v>1120</v>
      </c>
      <c r="D11" s="43">
        <f t="shared" si="0"/>
        <v>0</v>
      </c>
      <c r="E11" s="46">
        <f>SUMPRODUCT(('数据-基础表'!BB10:BK10="地下")*('数据-基础表'!BB11:BK11="办公")*('数据-基础表'!BB5:BK5))+'数据-基础表'!BP5</f>
        <v>0</v>
      </c>
      <c r="F11" s="2437"/>
      <c r="G11" s="2437"/>
      <c r="H11" s="2437"/>
      <c r="I11" s="2437"/>
      <c r="J11" s="2437"/>
      <c r="K11" s="2437"/>
      <c r="L11" s="2437"/>
      <c r="M11" s="2437"/>
      <c r="N11" s="2437"/>
      <c r="O11" s="2437"/>
      <c r="P11" s="2437"/>
    </row>
    <row r="12" spans="1:16">
      <c r="A12" s="1529"/>
      <c r="B12" s="1530"/>
      <c r="C12" s="43" t="s">
        <v>1121</v>
      </c>
      <c r="D12" s="43">
        <f t="shared" si="0"/>
        <v>0</v>
      </c>
      <c r="E12" s="46">
        <f>SUMPRODUCT(('数据-基础表'!BB10:BK10="地下")*('数据-基础表'!BB11:BK11="仓储")*('数据-基础表'!BB5:BK5))</f>
        <v>0</v>
      </c>
      <c r="F12" s="2437"/>
      <c r="G12" s="2437"/>
      <c r="H12" s="2437"/>
      <c r="I12" s="2437"/>
      <c r="J12" s="2437"/>
      <c r="K12" s="2437"/>
      <c r="L12" s="2437"/>
      <c r="M12" s="2437"/>
      <c r="N12" s="2437"/>
      <c r="O12" s="2437"/>
      <c r="P12" s="2437"/>
    </row>
    <row r="13" spans="1:16">
      <c r="A13" s="1529"/>
      <c r="B13" s="1530"/>
      <c r="C13" s="43" t="s">
        <v>1122</v>
      </c>
      <c r="D13" s="43">
        <f t="shared" si="0"/>
        <v>0</v>
      </c>
      <c r="E13" s="46">
        <f>SUMPRODUCT(('数据-基础表'!BB10:BK10="地下")*('数据-基础表'!BB11:BK11="车库")*('数据-基础表'!BB5:BK5))</f>
        <v>0</v>
      </c>
      <c r="F13" s="2437"/>
      <c r="G13" s="2437"/>
      <c r="H13" s="2437"/>
      <c r="I13" s="2437"/>
      <c r="J13" s="2437"/>
      <c r="K13" s="2437"/>
      <c r="L13" s="2437"/>
      <c r="M13" s="2437"/>
      <c r="N13" s="2437"/>
      <c r="O13" s="2437"/>
      <c r="P13" s="2437"/>
    </row>
    <row r="14" spans="1:16">
      <c r="A14" s="1529"/>
      <c r="B14" s="1530"/>
      <c r="C14" s="43" t="s">
        <v>1134</v>
      </c>
      <c r="D14" s="43">
        <f t="shared" si="0"/>
        <v>0</v>
      </c>
      <c r="E14" s="46">
        <f>SUMPRODUCT(('数据-基础表'!BB10:BK10="地下")*('数据-基础表'!BB11:BK11="车库—商业")*('数据-基础表'!BB5:BK5))</f>
        <v>0</v>
      </c>
      <c r="F14" s="2437"/>
      <c r="G14" s="2437"/>
      <c r="H14" s="2437"/>
      <c r="I14" s="2437"/>
      <c r="J14" s="2437"/>
      <c r="K14" s="2437"/>
      <c r="L14" s="2437"/>
      <c r="M14" s="2437"/>
      <c r="N14" s="2437"/>
      <c r="O14" s="2437"/>
      <c r="P14" s="2437"/>
    </row>
    <row r="15" spans="1:16" ht="15" thickBot="1">
      <c r="A15" s="1529"/>
      <c r="B15" s="1530"/>
      <c r="C15" s="43" t="s">
        <v>1129</v>
      </c>
      <c r="D15" s="43">
        <f t="shared" si="0"/>
        <v>0</v>
      </c>
      <c r="E15" s="46">
        <f>SUMPRODUCT(('数据-基础表'!BB10:BK10="地下")*('数据-基础表'!BB11:BK11="车库—办公")*('数据-基础表'!BB5:BK5))</f>
        <v>0</v>
      </c>
      <c r="F15" s="2437"/>
      <c r="G15" s="2437"/>
      <c r="H15" s="2437"/>
      <c r="I15" s="2437"/>
      <c r="J15" s="2437"/>
      <c r="K15" s="2437"/>
      <c r="L15" s="2437"/>
      <c r="M15" s="2437"/>
      <c r="N15" s="2437"/>
      <c r="O15" s="2437"/>
      <c r="P15" s="2437"/>
    </row>
    <row r="16" spans="1:16" ht="15.75" thickBot="1">
      <c r="A16" s="1527"/>
      <c r="B16" s="1530"/>
      <c r="C16" s="45" t="s">
        <v>1123</v>
      </c>
      <c r="D16" s="45">
        <f>SUM(D8:D15)</f>
        <v>0</v>
      </c>
      <c r="E16" s="48">
        <f>SUM(E8:E15)</f>
        <v>32.74</v>
      </c>
      <c r="F16" s="2437"/>
      <c r="G16" s="2437"/>
      <c r="H16" s="1531" t="s">
        <v>1135</v>
      </c>
      <c r="I16" s="1532"/>
      <c r="J16" s="1071"/>
      <c r="K16" s="3256" t="s">
        <v>1135</v>
      </c>
      <c r="L16" s="3257"/>
      <c r="M16" s="3257"/>
      <c r="N16" s="3257"/>
      <c r="O16" s="3257"/>
      <c r="P16" s="3258"/>
    </row>
    <row r="17" spans="1:19" ht="15">
      <c r="A17" s="1533" t="s">
        <v>1136</v>
      </c>
      <c r="B17" s="1534" t="s">
        <v>1137</v>
      </c>
      <c r="C17" s="1535" t="s">
        <v>1138</v>
      </c>
      <c r="D17" s="1536" t="s">
        <v>1126</v>
      </c>
      <c r="E17" s="1537" t="s">
        <v>1127</v>
      </c>
      <c r="F17" s="1538"/>
      <c r="G17" s="1539"/>
      <c r="H17" s="1540" t="s">
        <v>1139</v>
      </c>
      <c r="I17" s="1541" t="s">
        <v>1124</v>
      </c>
      <c r="J17" s="1071"/>
      <c r="K17" s="3253" t="s">
        <v>1140</v>
      </c>
      <c r="L17" s="3254"/>
      <c r="M17" s="3255"/>
      <c r="N17" s="3253" t="s">
        <v>1141</v>
      </c>
      <c r="O17" s="3254"/>
      <c r="P17" s="3255"/>
      <c r="R17" s="769" t="s">
        <v>1142</v>
      </c>
      <c r="S17" s="54"/>
    </row>
    <row r="18" spans="1:19" ht="15">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3469</v>
      </c>
      <c r="D19" s="43">
        <f>ROUND($D$3*E19/$E$3,2)</f>
        <v>0</v>
      </c>
      <c r="E19" s="51">
        <f t="shared" ref="E19:E26" si="1">SUM(F19:G19)</f>
        <v>32.74</v>
      </c>
      <c r="F19" s="2556">
        <f>'数据-基础表'!I13</f>
        <v>32.74</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32.74</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75" thickBot="1">
      <c r="A27" s="1549"/>
      <c r="B27" s="43"/>
      <c r="C27" s="1554" t="s">
        <v>1154</v>
      </c>
      <c r="D27" s="1072">
        <f>SUM(D19:D26)</f>
        <v>0</v>
      </c>
      <c r="E27" s="1073">
        <f>IF(SUM(E19:E26)='数据-基础表'!BA5,SUM(E19:E26),IF(F27="地上面积有误","面积有误","地下面积有误"))</f>
        <v>32.74</v>
      </c>
      <c r="F27" s="1072">
        <f>IF(SUM(F19:F26)=E8,SUM(F19:F26),"地上面积有误")</f>
        <v>32.74</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32.74</v>
      </c>
    </row>
    <row r="28" spans="1:19">
      <c r="A28" s="1549"/>
      <c r="B28" s="45" t="s">
        <v>1155</v>
      </c>
      <c r="C28" s="54" t="s">
        <v>1156</v>
      </c>
      <c r="D28" s="43">
        <f>ROUND($D$3*E28/$E$3,2)</f>
        <v>0</v>
      </c>
      <c r="E28" s="51">
        <f>SUM(F28:G28)</f>
        <v>0</v>
      </c>
      <c r="F28" s="54">
        <f>'数据-基础表'!BQ5+'数据-基础表'!BS5</f>
        <v>0</v>
      </c>
      <c r="G28" s="55">
        <f>'数据-基础表'!BR5+'数据-基础表'!BT5</f>
        <v>0</v>
      </c>
      <c r="H28" s="2437"/>
      <c r="I28" s="2437"/>
      <c r="J28" s="2437"/>
      <c r="K28" s="2437"/>
      <c r="L28" s="2437"/>
      <c r="M28" s="2437"/>
      <c r="N28" s="2437"/>
      <c r="O28" s="2437"/>
      <c r="P28" s="2437"/>
    </row>
    <row r="29" spans="1:19">
      <c r="A29" s="1549"/>
      <c r="B29" s="45" t="s">
        <v>1155</v>
      </c>
      <c r="C29" s="1555" t="s">
        <v>1157</v>
      </c>
      <c r="D29" s="43">
        <f>ROUND($D$3*E29/$E$3,2)</f>
        <v>0</v>
      </c>
      <c r="E29" s="51">
        <f>SUM(F29:G29)</f>
        <v>0</v>
      </c>
      <c r="F29" s="56">
        <f>'数据-基础表'!BM5+'数据-基础表'!BO5</f>
        <v>0</v>
      </c>
      <c r="G29" s="48">
        <f>'数据-基础表'!BN5+'数据-基础表'!BP5</f>
        <v>0</v>
      </c>
      <c r="H29" s="2437"/>
      <c r="I29" s="2437"/>
      <c r="J29" s="2437"/>
      <c r="K29" s="2437"/>
      <c r="L29" s="2437"/>
      <c r="M29" s="2437"/>
      <c r="N29" s="2437"/>
      <c r="O29" s="2437"/>
      <c r="P29" s="2437"/>
    </row>
    <row r="30" spans="1:19" ht="15">
      <c r="A30" s="1549"/>
      <c r="B30" s="45"/>
      <c r="C30" s="1556" t="s">
        <v>1154</v>
      </c>
      <c r="D30" s="1072">
        <f>SUM(D28:D29)</f>
        <v>0</v>
      </c>
      <c r="E30" s="1072">
        <f>SUM(E28:E29)</f>
        <v>0</v>
      </c>
      <c r="F30" s="1072">
        <f>SUM(F28:F29)</f>
        <v>0</v>
      </c>
      <c r="G30" s="1074">
        <f>SUM(G28:G29)</f>
        <v>0</v>
      </c>
      <c r="H30" s="2437"/>
      <c r="I30" s="2437"/>
      <c r="J30" s="2437"/>
      <c r="K30" s="2437"/>
      <c r="L30" s="2437"/>
      <c r="M30" s="2437"/>
      <c r="N30" s="2437"/>
      <c r="O30" s="2437"/>
      <c r="P30" s="2437"/>
    </row>
    <row r="31" spans="1:19" ht="15.75" thickBot="1">
      <c r="A31" s="1557"/>
      <c r="B31" s="96"/>
      <c r="C31" s="785" t="s">
        <v>1158</v>
      </c>
      <c r="D31" s="643">
        <f>D27+D30</f>
        <v>0</v>
      </c>
      <c r="E31" s="643">
        <f>E27+E30</f>
        <v>32.74</v>
      </c>
      <c r="F31" s="644">
        <f>F27+F30</f>
        <v>32.74</v>
      </c>
      <c r="G31" s="645">
        <f>G27+G30</f>
        <v>0</v>
      </c>
      <c r="H31" s="2437"/>
      <c r="I31" s="2437"/>
      <c r="J31" s="2437"/>
      <c r="K31" s="2437"/>
      <c r="L31" s="2437"/>
      <c r="M31" s="2437"/>
      <c r="N31" s="2437"/>
      <c r="O31" s="2437"/>
      <c r="P31" s="2437"/>
    </row>
    <row r="32" spans="1:19">
      <c r="A32" s="1526"/>
      <c r="B32" s="1526" t="s">
        <v>1159</v>
      </c>
      <c r="C32" s="1526"/>
      <c r="D32" s="1526"/>
      <c r="E32" s="990">
        <f>SUMIF(C19:C26,"*住宅*",E19:E26)</f>
        <v>0</v>
      </c>
      <c r="F32" s="1526"/>
      <c r="G32" s="1526"/>
      <c r="H32" s="2437"/>
      <c r="I32" s="2437"/>
      <c r="J32" s="2437"/>
      <c r="K32" s="2437"/>
      <c r="L32" s="2437"/>
      <c r="M32" s="2437"/>
      <c r="N32" s="2437"/>
      <c r="O32" s="2437"/>
      <c r="P32" s="2437"/>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4" priority="1" stopIfTrue="1" operator="containsText" text="面积有误">
      <formula>NOT(ISERROR(SEARCH("面积有误",E27)))</formula>
    </cfRule>
    <cfRule type="cellIs" dxfId="153" priority="3" stopIfTrue="1" operator="equal">
      <formula>"地下面积有误"</formula>
    </cfRule>
  </conditionalFormatting>
  <conditionalFormatting sqref="F27">
    <cfRule type="cellIs" dxfId="152"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B39" sqref="B39"/>
    </sheetView>
  </sheetViews>
  <sheetFormatPr defaultColWidth="13.75" defaultRowHeight="12.75"/>
  <cols>
    <col min="1" max="1" width="20.875" style="1618" customWidth="1"/>
    <col min="2" max="2" width="12" style="1561" customWidth="1"/>
    <col min="3" max="3" width="12.75" style="1561" customWidth="1"/>
    <col min="4" max="4" width="9.125" style="1619" customWidth="1"/>
    <col min="5" max="5" width="15" style="1561" bestFit="1" customWidth="1"/>
    <col min="6" max="10" width="8.875" style="1561" customWidth="1"/>
    <col min="11" max="12" width="12.375" style="1489" customWidth="1"/>
    <col min="13" max="13" width="8.625" style="1561" customWidth="1"/>
    <col min="14" max="14" width="11.875" style="1561" customWidth="1"/>
    <col min="15" max="15" width="8.5" style="1561" customWidth="1"/>
    <col min="16" max="17" width="10.875" style="1561" customWidth="1"/>
    <col min="18" max="19" width="12.5" style="1561" customWidth="1"/>
    <col min="20" max="20" width="12.125" style="1561" customWidth="1"/>
    <col min="21" max="21" width="7.5" style="1561" customWidth="1"/>
    <col min="22" max="22" width="6.375" style="1561" customWidth="1"/>
    <col min="23" max="30" width="6.75" style="1561" customWidth="1"/>
    <col min="31" max="31" width="8" style="1561" customWidth="1"/>
    <col min="32" max="34" width="7.25" style="1561" customWidth="1"/>
    <col min="35" max="39" width="8" style="1561" customWidth="1"/>
    <col min="40" max="40" width="13.75" style="122"/>
    <col min="41" max="41" width="11.625" style="122" customWidth="1"/>
    <col min="42" max="42" width="9.75" style="122" customWidth="1"/>
    <col min="43" max="67" width="13.75" style="122"/>
    <col min="68" max="16384" width="13.75" style="1561"/>
  </cols>
  <sheetData>
    <row r="1" spans="1:67" ht="19.5"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75" thickBot="1">
      <c r="A2" s="1562" t="s">
        <v>1161</v>
      </c>
      <c r="B2" s="984">
        <f>项目基本情况!D3</f>
        <v>46015</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7"/>
      <c r="AO2" s="2437"/>
      <c r="AP2" s="2437"/>
      <c r="AQ2" s="2437"/>
      <c r="AR2" s="2437"/>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7"/>
      <c r="AO3" s="2437"/>
      <c r="AP3" s="2437"/>
      <c r="AQ3" s="2437"/>
      <c r="AR3" s="2437"/>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6"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7"/>
      <c r="AO4" s="2437"/>
      <c r="AP4" s="2437"/>
      <c r="AQ4" s="2437"/>
      <c r="AR4" s="2437"/>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2">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3472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25">
      <c r="A6" s="1586" t="str">
        <f>'数据-汇总表'!C19</f>
        <v>信息服务用房</v>
      </c>
      <c r="B6" s="1587" t="str">
        <f>IF(A6=0,"","经营性")</f>
        <v>经营性</v>
      </c>
      <c r="C6" s="1588" t="s">
        <v>673</v>
      </c>
      <c r="D6" s="805">
        <f>SUMIF(项目基本情况!C$12:I$12,C6,项目基本情况!C$14:I$14)</f>
        <v>40</v>
      </c>
      <c r="E6" s="804">
        <f>IF(B6="","",SUMIF(项目基本情况!C$12:I$12,C6,项目基本情况!C$13:I$13))</f>
        <v>52932</v>
      </c>
      <c r="F6" s="61">
        <f>SUMIF(项目基本情况!C$12:I$12,C6,项目基本情况!C$15:I$15)</f>
        <v>18.95</v>
      </c>
      <c r="G6" s="62">
        <f>IF(ISERROR(ROUND(POWER(1+H6,D6-F6)*(POWER(1+H6,F6)-1)/(POWER(1+H6,D6)-1),3)),0,ROUND(POWER(1+H6,D6-F6)*(POWER(1+H6,F6)-1)/(POWER(1+H6,D6)-1),3))</f>
        <v>0.68300000000000005</v>
      </c>
      <c r="H6" s="691">
        <v>4.4999999999999998E-2</v>
      </c>
      <c r="I6" s="691">
        <v>0.05</v>
      </c>
      <c r="J6" s="63">
        <v>5.5E-2</v>
      </c>
      <c r="K6" s="970">
        <f>SUMIF('数据-汇总表'!C$19:C$33,A6,'数据-汇总表'!E$19:E$33)</f>
        <v>32.74</v>
      </c>
      <c r="L6" s="692">
        <v>3500</v>
      </c>
      <c r="M6" s="64">
        <f t="shared" ref="M6:M14" si="0">ROUND(K6*L6/10000,0)</f>
        <v>11</v>
      </c>
      <c r="N6" s="690">
        <v>0.8</v>
      </c>
      <c r="O6" s="64" t="str">
        <f>IF($N$5="成新度","——",ROUND(M6*N6,0))</f>
        <v>——</v>
      </c>
      <c r="P6" s="65" t="str">
        <f>IF($N$5="成新度","——",M6-O6)</f>
        <v>——</v>
      </c>
      <c r="Q6" s="693">
        <v>0.1</v>
      </c>
      <c r="R6" s="66">
        <f ca="1">SUMIF('数据-汇总表'!C$19:C$33,A6,'数据-汇总表'!R$19:R$27)</f>
        <v>0</v>
      </c>
      <c r="S6" s="49">
        <f>IF('数据-汇总表'!$I$17="按面积比例",SUMIF('数据-汇总表'!C$19:C$33,A6,'数据-汇总表'!K$19:K$33),SUMIF('数据-汇总表'!C$19:C$33,A6,'数据-汇总表'!N$19:N$33))</f>
        <v>0</v>
      </c>
      <c r="T6" s="1092">
        <f>ROUND($L$14*S6/10000,0)</f>
        <v>0</v>
      </c>
      <c r="U6" s="3125">
        <f>'比较法-住宅租金'!C48</f>
        <v>4.7</v>
      </c>
      <c r="V6" s="67">
        <v>1.4999999999999999E-2</v>
      </c>
      <c r="W6" s="67">
        <v>0.1</v>
      </c>
      <c r="X6" s="979"/>
      <c r="Y6" s="68">
        <f>N6</f>
        <v>0.8</v>
      </c>
      <c r="Z6" s="69"/>
      <c r="AA6" s="63"/>
      <c r="AB6" s="63"/>
      <c r="AC6" s="979"/>
      <c r="AD6" s="70"/>
      <c r="AE6" s="980">
        <f ca="1">IF(AN6="",0,SUMIF(INDIRECT("'"&amp;AN6&amp;"'"&amp;"!E:E"),$AE$5,INDIRECT("'"&amp;AN6&amp;"'"&amp;"!F:F")))</f>
        <v>18.95</v>
      </c>
      <c r="AF6" s="74"/>
      <c r="AG6" s="130">
        <f>IF(AF6="",0,AE6-AF6)</f>
        <v>0</v>
      </c>
      <c r="AH6" s="71"/>
      <c r="AI6" s="73">
        <v>365</v>
      </c>
      <c r="AJ6" s="74"/>
      <c r="AK6" s="75">
        <v>2E-3</v>
      </c>
      <c r="AL6" s="76">
        <v>1E-3</v>
      </c>
      <c r="AM6" s="77">
        <v>0.01</v>
      </c>
      <c r="AN6" s="1589" t="s">
        <v>3473</v>
      </c>
      <c r="AO6" s="50">
        <f ca="1">SUMIF(INDIRECT("'"&amp;AN6&amp;"'"&amp;"!A:A"),"总价",INDIRECT("'"&amp;AN6&amp;"'"&amp;"!B:B"))</f>
        <v>65.195599999999999</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25">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25">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25">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25">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25">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25">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25">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25">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7"/>
      <c r="AP14" s="2437"/>
      <c r="AQ14" s="2437"/>
      <c r="AR14" s="2437"/>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7">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7"/>
      <c r="AP15" s="2437"/>
      <c r="AQ15" s="2437"/>
      <c r="AR15" s="2437"/>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75" thickBot="1">
      <c r="A16" s="1593" t="s">
        <v>1209</v>
      </c>
      <c r="B16" s="82"/>
      <c r="C16" s="783"/>
      <c r="D16" s="1594"/>
      <c r="E16" s="82"/>
      <c r="F16" s="82"/>
      <c r="G16" s="83">
        <f>ROUND(SUMPRODUCT(G6:G13,K6:K13)/SUMPRODUCT((G6:G13&gt;0)*(K6:K13)),3)</f>
        <v>0.68300000000000005</v>
      </c>
      <c r="H16" s="84">
        <f>ROUND(SUMPRODUCT(H6:H13,K6:K13)/SUMPRODUCT((H6:H13&gt;0)*(K6:K13)),3)</f>
        <v>4.4999999999999998E-2</v>
      </c>
      <c r="I16" s="85"/>
      <c r="J16" s="85"/>
      <c r="K16" s="86">
        <f>SUM(K6:K15)</f>
        <v>32.74</v>
      </c>
      <c r="L16" s="87">
        <f>ROUND(M16*10000/SUM(K6:K14),0)</f>
        <v>3360</v>
      </c>
      <c r="M16" s="87">
        <f>SUM(M6:M14)</f>
        <v>11</v>
      </c>
      <c r="N16" s="88">
        <f>ROUND(SUMPRODUCT(M6:M14,N6:N14)/M16,3)</f>
        <v>0.8</v>
      </c>
      <c r="O16" s="87">
        <f>SUM(O6:O14)</f>
        <v>0</v>
      </c>
      <c r="P16" s="87">
        <f>SUM(P6:P14)</f>
        <v>0</v>
      </c>
      <c r="Q16" s="89">
        <f>ROUND(SUMPRODUCT(Q6:Q13,K6:K13)/SUMPRODUCT((Q6:Q13&gt;0)*(K6:K13)),2)</f>
        <v>0.1</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7"/>
      <c r="AP16" s="2437"/>
      <c r="AQ16" s="2437"/>
      <c r="AR16" s="2437"/>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7"/>
      <c r="D18" s="2450"/>
      <c r="E18" s="2437"/>
      <c r="F18" s="2437"/>
      <c r="G18" s="2437"/>
      <c r="H18" s="2437"/>
      <c r="I18" s="2437"/>
      <c r="J18" s="2437"/>
      <c r="K18" s="2448"/>
      <c r="L18" s="2448"/>
      <c r="M18" s="2447"/>
      <c r="N18" s="2447">
        <v>2010</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25">
      <c r="A19" s="1596" t="s">
        <v>1211</v>
      </c>
      <c r="B19" s="97">
        <v>0</v>
      </c>
      <c r="C19" s="2559" t="s">
        <v>2302</v>
      </c>
      <c r="D19" s="2450"/>
      <c r="E19" s="2437"/>
      <c r="F19" s="2437"/>
      <c r="G19" s="2437"/>
      <c r="H19" s="2437"/>
      <c r="I19" s="2437"/>
      <c r="J19" s="2437"/>
      <c r="K19" s="2448"/>
      <c r="L19" s="2448"/>
      <c r="M19" s="2447"/>
      <c r="N19" s="2447">
        <f>1-(2025-N18)/60</f>
        <v>0.75</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25">
      <c r="A20" s="1597" t="s">
        <v>1212</v>
      </c>
      <c r="B20" s="98">
        <v>2</v>
      </c>
      <c r="C20" s="2560" t="s">
        <v>2300</v>
      </c>
      <c r="D20" s="2450"/>
      <c r="E20" s="2437"/>
      <c r="F20" s="2437"/>
      <c r="G20" s="2437"/>
      <c r="H20" s="2437"/>
      <c r="I20" s="2437"/>
      <c r="J20" s="2437"/>
      <c r="K20" s="2448"/>
      <c r="L20" s="2448"/>
      <c r="M20" s="2447"/>
      <c r="N20" s="2447">
        <v>0.85</v>
      </c>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25">
      <c r="A21" s="1598" t="s">
        <v>1213</v>
      </c>
      <c r="B21" s="98">
        <v>2</v>
      </c>
      <c r="C21" s="2437"/>
      <c r="D21" s="2450"/>
      <c r="E21" s="2437"/>
      <c r="F21" s="2437"/>
      <c r="G21" s="2437"/>
      <c r="H21" s="2437"/>
      <c r="I21" s="2437"/>
      <c r="J21" s="2437"/>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25">
      <c r="A22" s="1597" t="s">
        <v>1214</v>
      </c>
      <c r="B22" s="99">
        <f>B19+B20</f>
        <v>2</v>
      </c>
      <c r="C22" s="2437"/>
      <c r="D22" s="2450"/>
      <c r="E22" s="2437"/>
      <c r="F22" s="2437"/>
      <c r="G22" s="2437"/>
      <c r="H22" s="2437"/>
      <c r="I22" s="2437"/>
      <c r="J22" s="2437"/>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25">
      <c r="A23" s="1598" t="s">
        <v>1215</v>
      </c>
      <c r="B23" s="99">
        <f>B19+B21</f>
        <v>2</v>
      </c>
      <c r="C23" s="2437"/>
      <c r="D23" s="2450"/>
      <c r="E23" s="2437"/>
      <c r="F23" s="2437"/>
      <c r="G23" s="2437"/>
      <c r="H23" s="2437"/>
      <c r="I23" s="2437"/>
      <c r="J23" s="2437"/>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7"/>
      <c r="D24" s="2450"/>
      <c r="E24" s="2437"/>
      <c r="F24" s="2437"/>
      <c r="G24" s="2437"/>
      <c r="H24" s="2437"/>
      <c r="I24" s="2437"/>
      <c r="J24" s="2437"/>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5" thickBot="1">
      <c r="A25" s="1449"/>
      <c r="B25" s="1542"/>
      <c r="C25" s="2437"/>
      <c r="D25" s="2450"/>
      <c r="E25" s="2437"/>
      <c r="F25" s="2437"/>
      <c r="G25" s="2437"/>
      <c r="H25" s="2437"/>
      <c r="I25" s="2437"/>
      <c r="J25" s="2437"/>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7"/>
      <c r="F26" s="2437"/>
      <c r="G26" s="2437"/>
      <c r="H26" s="2437"/>
      <c r="I26" s="2437"/>
      <c r="J26" s="2437"/>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7.75">
      <c r="A27" s="1601" t="s">
        <v>1220</v>
      </c>
      <c r="B27" s="101">
        <v>160</v>
      </c>
      <c r="C27" s="2561" t="s">
        <v>2304</v>
      </c>
      <c r="D27" s="2453"/>
      <c r="E27" s="2438"/>
      <c r="F27" s="2438"/>
      <c r="G27" s="2437"/>
      <c r="H27" s="2437"/>
      <c r="I27" s="2437"/>
      <c r="J27" s="2437"/>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7.75">
      <c r="A28" s="1602" t="s">
        <v>1221</v>
      </c>
      <c r="B28" s="103">
        <v>200</v>
      </c>
      <c r="C28" s="2454"/>
      <c r="D28" s="2453"/>
      <c r="E28" s="2438"/>
      <c r="F28" s="2438"/>
      <c r="G28" s="2437"/>
      <c r="H28" s="2437"/>
      <c r="I28" s="2437"/>
      <c r="J28" s="2437"/>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8.5" thickBot="1">
      <c r="A29" s="1603" t="s">
        <v>1222</v>
      </c>
      <c r="B29" s="105"/>
      <c r="C29" s="2562" t="s">
        <v>2294</v>
      </c>
      <c r="D29" s="2453"/>
      <c r="E29" s="2438"/>
      <c r="F29" s="2438"/>
      <c r="G29" s="2437"/>
      <c r="H29" s="2437"/>
      <c r="I29" s="2437"/>
      <c r="J29" s="2437"/>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7">
      <c r="A30" s="1604" t="s">
        <v>1223</v>
      </c>
      <c r="B30" s="638">
        <v>200</v>
      </c>
      <c r="C30" s="2454"/>
      <c r="D30" s="2453"/>
      <c r="E30" s="2438"/>
      <c r="F30" s="2438"/>
      <c r="G30" s="2437"/>
      <c r="H30" s="2437"/>
      <c r="I30" s="2437"/>
      <c r="J30" s="2437"/>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7">
      <c r="A31" s="1602" t="s">
        <v>1224</v>
      </c>
      <c r="B31" s="104">
        <f>B30-B32</f>
        <v>200</v>
      </c>
      <c r="C31" s="2452"/>
      <c r="D31" s="2453"/>
      <c r="E31" s="2438"/>
      <c r="F31" s="2438"/>
      <c r="G31" s="2437"/>
      <c r="H31" s="2437"/>
      <c r="I31" s="2437"/>
      <c r="J31" s="2437"/>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7.75" thickBot="1">
      <c r="A32" s="1605" t="s">
        <v>1225</v>
      </c>
      <c r="B32" s="639">
        <v>0</v>
      </c>
      <c r="C32" s="2454"/>
      <c r="D32" s="2450"/>
      <c r="E32" s="2437"/>
      <c r="F32" s="2437"/>
      <c r="G32" s="2437"/>
      <c r="H32" s="2437"/>
      <c r="I32" s="2437"/>
      <c r="J32" s="2437"/>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25">
      <c r="A33" s="1601" t="s">
        <v>1226</v>
      </c>
      <c r="B33" s="640">
        <v>0.05</v>
      </c>
      <c r="C33" s="2563" t="s">
        <v>3381</v>
      </c>
      <c r="D33" s="2450"/>
      <c r="E33" s="2437"/>
      <c r="F33" s="2437"/>
      <c r="G33" s="2437"/>
      <c r="H33" s="2437"/>
      <c r="I33" s="2437"/>
      <c r="J33" s="2437"/>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25">
      <c r="A34" s="1602" t="s">
        <v>1227</v>
      </c>
      <c r="B34" s="106"/>
      <c r="C34" s="2563" t="s">
        <v>2295</v>
      </c>
      <c r="D34" s="2458" t="s">
        <v>2301</v>
      </c>
      <c r="E34" s="2456"/>
      <c r="F34" s="2437"/>
      <c r="G34" s="2437"/>
      <c r="H34" s="2437"/>
      <c r="I34" s="2437"/>
      <c r="J34" s="2437"/>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25">
      <c r="A35" s="1602" t="s">
        <v>1228</v>
      </c>
      <c r="B35" s="103">
        <v>200</v>
      </c>
      <c r="C35" s="2563" t="s">
        <v>2296</v>
      </c>
      <c r="D35" s="2453"/>
      <c r="E35" s="2438"/>
      <c r="F35" s="2438"/>
      <c r="G35" s="2437"/>
      <c r="H35" s="2437"/>
      <c r="I35" s="2437"/>
      <c r="J35" s="2437"/>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3399</v>
      </c>
      <c r="D36" s="2450"/>
      <c r="E36" s="2437"/>
      <c r="F36" s="2437"/>
      <c r="G36" s="2437"/>
      <c r="H36" s="2437"/>
      <c r="I36" s="2437"/>
      <c r="J36" s="2437"/>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25">
      <c r="A37" s="1604" t="s">
        <v>1230</v>
      </c>
      <c r="B37" s="108">
        <v>0.02</v>
      </c>
      <c r="C37" s="2563" t="s">
        <v>3382</v>
      </c>
      <c r="D37" s="2450"/>
      <c r="E37" s="2437"/>
      <c r="F37" s="2437"/>
      <c r="G37" s="2437"/>
      <c r="H37" s="2437"/>
      <c r="I37" s="2437"/>
      <c r="J37" s="2437"/>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25">
      <c r="A38" s="1602" t="s">
        <v>1231</v>
      </c>
      <c r="B38" s="106">
        <v>0.01</v>
      </c>
      <c r="C38" s="2563" t="s">
        <v>3383</v>
      </c>
      <c r="D38" s="2450"/>
      <c r="E38" s="2437"/>
      <c r="F38" s="2437"/>
      <c r="G38" s="2437"/>
      <c r="H38" s="2437"/>
      <c r="I38" s="2437"/>
      <c r="J38" s="2437"/>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25">
      <c r="A39" s="1605" t="s">
        <v>1232</v>
      </c>
      <c r="B39" s="309">
        <f ca="1">存贷款利率!I1</f>
        <v>1.4999999999999999E-2</v>
      </c>
      <c r="C39" s="2455"/>
      <c r="D39" s="2450"/>
      <c r="E39" s="2437"/>
      <c r="F39" s="2437"/>
      <c r="G39" s="2437"/>
      <c r="H39" s="2437"/>
      <c r="I39" s="2437"/>
      <c r="J39" s="2437"/>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5" thickBot="1">
      <c r="A40" s="2572" t="s">
        <v>2310</v>
      </c>
      <c r="B40" s="1015">
        <f ca="1">IF(A40="利息：取LPR",存贷款利率!G1,存贷款利率!G1+C40)</f>
        <v>3.1300000000000001E-2</v>
      </c>
      <c r="C40" s="2571"/>
      <c r="D40" s="2447"/>
      <c r="E40" s="2450"/>
      <c r="F40" s="2437"/>
      <c r="G40" s="2437"/>
      <c r="H40" s="2437"/>
      <c r="I40" s="2437"/>
      <c r="J40" s="2437"/>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25">
      <c r="A41" s="1601" t="s">
        <v>1233</v>
      </c>
      <c r="B41" s="109">
        <f>B42+B43</f>
        <v>5.6000000000000001E-2</v>
      </c>
      <c r="C41" s="2452"/>
      <c r="D41" s="2447"/>
      <c r="E41" s="2450"/>
      <c r="F41" s="2437"/>
      <c r="G41" s="2437"/>
      <c r="H41" s="2437"/>
      <c r="I41" s="2437"/>
      <c r="J41" s="2437"/>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25">
      <c r="A42" s="1606" t="s">
        <v>1234</v>
      </c>
      <c r="B42" s="110">
        <v>0.05</v>
      </c>
      <c r="C42" s="2457">
        <f>IF(B2&lt;DATE(2016,5,1),0,B42)</f>
        <v>0.05</v>
      </c>
      <c r="D42" s="2450"/>
      <c r="E42" s="2437"/>
      <c r="F42" s="2437"/>
      <c r="G42" s="2437"/>
      <c r="H42" s="2437"/>
      <c r="I42" s="2437"/>
      <c r="J42" s="2437"/>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25">
      <c r="A43" s="1606" t="s">
        <v>1235</v>
      </c>
      <c r="B43" s="111">
        <f>B42*(B44+B45+B46)+B47</f>
        <v>6.000000000000001E-3</v>
      </c>
      <c r="C43" s="2452"/>
      <c r="D43" s="2450"/>
      <c r="E43" s="2437"/>
      <c r="F43" s="2437"/>
      <c r="G43" s="2437"/>
      <c r="H43" s="2437"/>
      <c r="I43" s="2437"/>
      <c r="J43" s="2437"/>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25">
      <c r="A44" s="1607" t="s">
        <v>1236</v>
      </c>
      <c r="B44" s="112">
        <v>7.0000000000000007E-2</v>
      </c>
      <c r="C44" s="2563" t="s">
        <v>3384</v>
      </c>
      <c r="D44" s="2450"/>
      <c r="E44" s="2437"/>
      <c r="F44" s="2437"/>
      <c r="G44" s="2437"/>
      <c r="H44" s="2437"/>
      <c r="I44" s="2437"/>
      <c r="J44" s="2437"/>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25">
      <c r="A45" s="1607" t="s">
        <v>1237</v>
      </c>
      <c r="B45" s="110">
        <v>0.03</v>
      </c>
      <c r="C45" s="2562" t="s">
        <v>2297</v>
      </c>
      <c r="D45" s="2450"/>
      <c r="E45" s="2437"/>
      <c r="F45" s="2437"/>
      <c r="G45" s="2437"/>
      <c r="H45" s="2437"/>
      <c r="I45" s="2437"/>
      <c r="J45" s="2437"/>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25">
      <c r="A46" s="1607" t="s">
        <v>1238</v>
      </c>
      <c r="B46" s="110">
        <v>0.02</v>
      </c>
      <c r="C46" s="2562" t="s">
        <v>2298</v>
      </c>
      <c r="D46" s="2450"/>
      <c r="E46" s="2437"/>
      <c r="F46" s="2437"/>
      <c r="G46" s="2437"/>
      <c r="H46" s="2437"/>
      <c r="I46" s="2437"/>
      <c r="J46" s="2437"/>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7"/>
      <c r="F47" s="2437"/>
      <c r="G47" s="2437"/>
      <c r="H47" s="2437"/>
      <c r="I47" s="2437"/>
      <c r="J47" s="2437"/>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25">
      <c r="A48" s="1609" t="s">
        <v>1240</v>
      </c>
      <c r="B48" s="114">
        <v>0.03</v>
      </c>
      <c r="C48" s="2562" t="s">
        <v>2297</v>
      </c>
      <c r="D48" s="2450"/>
      <c r="E48" s="2437"/>
      <c r="F48" s="2437"/>
      <c r="G48" s="2437"/>
      <c r="H48" s="2437"/>
      <c r="I48" s="2437"/>
      <c r="J48" s="2437"/>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7"/>
      <c r="F49" s="2437"/>
      <c r="G49" s="2437"/>
      <c r="H49" s="2437"/>
      <c r="I49" s="2437"/>
      <c r="J49" s="2437"/>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25">
      <c r="A50" s="1610" t="s">
        <v>1242</v>
      </c>
      <c r="B50" s="115">
        <v>1.2E-2</v>
      </c>
      <c r="C50" s="2438"/>
      <c r="D50" s="2450"/>
      <c r="E50" s="2437"/>
      <c r="F50" s="2437"/>
      <c r="G50" s="2437"/>
      <c r="H50" s="2437"/>
      <c r="I50" s="2437"/>
      <c r="J50" s="2437"/>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8"/>
      <c r="D51" s="2450"/>
      <c r="E51" s="2437"/>
      <c r="F51" s="2437"/>
      <c r="G51" s="2437"/>
      <c r="H51" s="2437"/>
      <c r="I51" s="2437"/>
      <c r="J51" s="2437"/>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25">
      <c r="A52" s="1610" t="s">
        <v>1244</v>
      </c>
      <c r="B52" s="117">
        <f>SUMIF(A54:A63,B53,B54:B63)</f>
        <v>0</v>
      </c>
      <c r="C52" s="2438"/>
      <c r="D52" s="2450"/>
      <c r="E52" s="2437"/>
      <c r="F52" s="2437"/>
      <c r="G52" s="2437"/>
      <c r="H52" s="2437"/>
      <c r="I52" s="2437"/>
      <c r="J52" s="2437"/>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7">
      <c r="A53" s="1602" t="s">
        <v>1245</v>
      </c>
      <c r="B53" s="1611"/>
      <c r="C53" s="2438" t="s">
        <v>1246</v>
      </c>
      <c r="D53" s="2564" t="s">
        <v>2303</v>
      </c>
      <c r="E53" s="2437"/>
      <c r="F53" s="2437"/>
      <c r="G53" s="2437"/>
      <c r="H53" s="2437"/>
      <c r="I53" s="2437"/>
      <c r="J53" s="2437"/>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25">
      <c r="A54" s="1612" t="s">
        <v>1247</v>
      </c>
      <c r="B54" s="72"/>
      <c r="C54" s="2438">
        <v>30</v>
      </c>
      <c r="D54" s="2450"/>
      <c r="E54" s="2437"/>
      <c r="F54" s="2437"/>
      <c r="G54" s="2437"/>
      <c r="H54" s="2437"/>
      <c r="I54" s="2437"/>
      <c r="J54" s="2437"/>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25">
      <c r="A55" s="1612" t="s">
        <v>1248</v>
      </c>
      <c r="B55" s="72"/>
      <c r="C55" s="2438">
        <v>24</v>
      </c>
      <c r="D55" s="2450"/>
      <c r="E55" s="2437"/>
      <c r="F55" s="2437"/>
      <c r="G55" s="2437"/>
      <c r="H55" s="2437"/>
      <c r="I55" s="2437"/>
      <c r="J55" s="2437"/>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25">
      <c r="A56" s="1612" t="s">
        <v>1249</v>
      </c>
      <c r="B56" s="72"/>
      <c r="C56" s="2438">
        <v>18</v>
      </c>
      <c r="D56" s="2450"/>
      <c r="E56" s="2437"/>
      <c r="F56" s="2437"/>
      <c r="G56" s="2437"/>
      <c r="H56" s="2437"/>
      <c r="I56" s="2437"/>
      <c r="J56" s="2437"/>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25">
      <c r="A57" s="1612" t="s">
        <v>1250</v>
      </c>
      <c r="B57" s="72"/>
      <c r="C57" s="2438">
        <v>12</v>
      </c>
      <c r="D57" s="2450"/>
      <c r="E57" s="2437"/>
      <c r="F57" s="2437"/>
      <c r="G57" s="2437"/>
      <c r="H57" s="2437"/>
      <c r="I57" s="2437"/>
      <c r="J57" s="2437"/>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25">
      <c r="A58" s="1612" t="s">
        <v>1251</v>
      </c>
      <c r="B58" s="72"/>
      <c r="C58" s="2438">
        <v>3</v>
      </c>
      <c r="D58" s="2450"/>
      <c r="E58" s="2437"/>
      <c r="F58" s="2437"/>
      <c r="G58" s="2437"/>
      <c r="H58" s="2437"/>
      <c r="I58" s="2437"/>
      <c r="J58" s="2437"/>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25">
      <c r="A59" s="1612" t="s">
        <v>1252</v>
      </c>
      <c r="B59" s="72"/>
      <c r="C59" s="2438">
        <v>1.5</v>
      </c>
      <c r="D59" s="2450"/>
      <c r="E59" s="2437"/>
      <c r="F59" s="2437"/>
      <c r="G59" s="2437"/>
      <c r="H59" s="2437"/>
      <c r="I59" s="2437"/>
      <c r="J59" s="2437"/>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25">
      <c r="A60" s="1612" t="s">
        <v>1253</v>
      </c>
      <c r="B60" s="72"/>
      <c r="C60" s="2437"/>
      <c r="D60" s="2450"/>
      <c r="E60" s="2437"/>
      <c r="F60" s="2437"/>
      <c r="G60" s="2437"/>
      <c r="H60" s="2437"/>
      <c r="I60" s="2437"/>
      <c r="J60" s="2437"/>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25">
      <c r="A61" s="1612" t="s">
        <v>1254</v>
      </c>
      <c r="B61" s="72"/>
      <c r="C61" s="2437"/>
      <c r="D61" s="2450"/>
      <c r="E61" s="2437"/>
      <c r="F61" s="2437"/>
      <c r="G61" s="2437"/>
      <c r="H61" s="2437"/>
      <c r="I61" s="2437"/>
      <c r="J61" s="2437"/>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25">
      <c r="A62" s="1612" t="s">
        <v>1255</v>
      </c>
      <c r="B62" s="72"/>
      <c r="C62" s="2437"/>
      <c r="D62" s="2450"/>
      <c r="E62" s="2437"/>
      <c r="F62" s="2437"/>
      <c r="G62" s="2437"/>
      <c r="H62" s="2437"/>
      <c r="I62" s="2437"/>
      <c r="J62" s="2437"/>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7"/>
      <c r="D63" s="2450"/>
      <c r="E63" s="2437"/>
      <c r="F63" s="2437"/>
      <c r="G63" s="2437"/>
      <c r="H63" s="2437"/>
      <c r="I63" s="2437"/>
      <c r="J63" s="2437"/>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0"/>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0"/>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0"/>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0"/>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0"/>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22" customWidth="1"/>
    <col min="2" max="3" width="24.5" style="508" customWidth="1"/>
    <col min="4" max="4" width="2.625" style="508" customWidth="1"/>
    <col min="5" max="5" width="5.875" style="508" customWidth="1"/>
    <col min="6" max="7" width="27" style="508" customWidth="1"/>
    <col min="8" max="8" width="11.875" style="2275" customWidth="1"/>
    <col min="9" max="9" width="16.75" style="2275" customWidth="1"/>
    <col min="10" max="10" width="2.625" style="2275" customWidth="1"/>
    <col min="11" max="11" width="11.875" style="2275" customWidth="1"/>
    <col min="12" max="12" width="16.75" style="2275" customWidth="1"/>
    <col min="13" max="13" width="2.625" style="2275" customWidth="1"/>
    <col min="14" max="14" width="11.875" style="2275" customWidth="1"/>
    <col min="15" max="15" width="16.75" style="2275" customWidth="1"/>
    <col min="16" max="16" width="2.625" style="2275" customWidth="1"/>
    <col min="17" max="17" width="11.875" style="2275" customWidth="1"/>
    <col min="18" max="18" width="16.75" style="751" customWidth="1"/>
    <col min="19" max="29" width="9" style="751"/>
    <col min="30" max="16384" width="9" style="1522"/>
  </cols>
  <sheetData>
    <row r="1" spans="1:29" s="2257" customFormat="1" ht="18.75" thickBot="1">
      <c r="A1" s="3268" t="s">
        <v>2286</v>
      </c>
      <c r="B1" s="3269"/>
      <c r="C1" s="3269"/>
      <c r="D1" s="3269"/>
      <c r="E1" s="3269"/>
      <c r="F1" s="3269"/>
      <c r="G1" s="3269"/>
      <c r="H1" s="2254"/>
      <c r="I1" s="2254"/>
      <c r="J1" s="2254"/>
      <c r="K1" s="2254"/>
      <c r="L1" s="2254"/>
      <c r="M1" s="2254"/>
      <c r="N1" s="2254"/>
      <c r="O1" s="2254"/>
      <c r="P1" s="2254"/>
      <c r="Q1" s="2255"/>
      <c r="R1" s="2256"/>
      <c r="S1" s="2256"/>
      <c r="T1" s="2256"/>
      <c r="U1" s="2256"/>
      <c r="V1" s="2256"/>
      <c r="W1" s="2256"/>
      <c r="X1" s="2256"/>
      <c r="Y1" s="2256"/>
      <c r="Z1" s="2256"/>
      <c r="AA1" s="2256"/>
      <c r="AB1" s="2256"/>
      <c r="AC1" s="2256"/>
    </row>
    <row r="2" spans="1:29" ht="15" thickBot="1">
      <c r="A2" s="2258"/>
      <c r="B2" s="2259"/>
      <c r="C2" s="2260" t="s">
        <v>2281</v>
      </c>
      <c r="D2" s="1595"/>
      <c r="E2" s="2258"/>
      <c r="F2" s="2261"/>
      <c r="G2" s="2260" t="s">
        <v>2282</v>
      </c>
      <c r="H2" s="751"/>
      <c r="I2" s="751"/>
      <c r="J2" s="751"/>
      <c r="K2" s="751"/>
      <c r="L2" s="751"/>
      <c r="M2" s="751"/>
      <c r="N2" s="751"/>
      <c r="O2" s="751"/>
      <c r="P2" s="751"/>
      <c r="Q2" s="751"/>
    </row>
    <row r="3" spans="1:29" ht="48">
      <c r="A3" s="2245" t="s">
        <v>2283</v>
      </c>
      <c r="B3" s="2262" t="s">
        <v>2252</v>
      </c>
      <c r="C3" s="2263" t="s">
        <v>2284</v>
      </c>
      <c r="D3" s="2264"/>
      <c r="E3" s="2246" t="s">
        <v>2283</v>
      </c>
      <c r="F3" s="2265" t="s">
        <v>2253</v>
      </c>
      <c r="G3" s="2266" t="s">
        <v>2285</v>
      </c>
      <c r="H3" s="751"/>
      <c r="I3" s="751"/>
      <c r="J3" s="751"/>
      <c r="K3" s="751"/>
      <c r="L3" s="751"/>
      <c r="M3" s="751"/>
      <c r="N3" s="751"/>
      <c r="O3" s="751"/>
      <c r="P3" s="751"/>
      <c r="Q3" s="751"/>
    </row>
    <row r="4" spans="1:29" ht="36.75">
      <c r="A4" s="2246"/>
      <c r="B4" s="315" t="s">
        <v>2254</v>
      </c>
      <c r="C4" s="2267" t="s">
        <v>2255</v>
      </c>
      <c r="D4" s="2264"/>
      <c r="E4" s="2268"/>
      <c r="F4" s="1281" t="s">
        <v>2256</v>
      </c>
      <c r="G4" s="2269" t="s">
        <v>2257</v>
      </c>
      <c r="H4" s="751"/>
      <c r="I4" s="751"/>
      <c r="J4" s="751"/>
      <c r="K4" s="751"/>
      <c r="L4" s="751"/>
      <c r="M4" s="751"/>
      <c r="N4" s="751"/>
      <c r="O4" s="751"/>
      <c r="P4" s="751"/>
      <c r="Q4" s="751"/>
    </row>
    <row r="5" spans="1:29" ht="36.75">
      <c r="A5" s="2246"/>
      <c r="B5" s="315" t="s">
        <v>2258</v>
      </c>
      <c r="C5" s="2267" t="s">
        <v>2259</v>
      </c>
      <c r="D5" s="2264"/>
      <c r="E5" s="2268"/>
      <c r="F5" s="315" t="s">
        <v>2260</v>
      </c>
      <c r="G5" s="2269" t="s">
        <v>2261</v>
      </c>
      <c r="H5" s="751"/>
      <c r="I5" s="751"/>
      <c r="J5" s="751"/>
      <c r="K5" s="751"/>
      <c r="L5" s="751"/>
      <c r="M5" s="751"/>
      <c r="N5" s="751"/>
      <c r="O5" s="751"/>
      <c r="P5" s="751"/>
      <c r="Q5" s="751"/>
    </row>
    <row r="6" spans="1:29" ht="36">
      <c r="A6" s="2246"/>
      <c r="B6" s="315" t="s">
        <v>2262</v>
      </c>
      <c r="C6" s="2269" t="s">
        <v>2257</v>
      </c>
      <c r="D6" s="2264"/>
      <c r="E6" s="2268"/>
      <c r="F6" s="315" t="s">
        <v>2263</v>
      </c>
      <c r="G6" s="2269" t="s">
        <v>2264</v>
      </c>
      <c r="H6" s="751"/>
      <c r="I6" s="751"/>
      <c r="J6" s="751"/>
      <c r="K6" s="751"/>
      <c r="L6" s="751"/>
      <c r="M6" s="751"/>
      <c r="N6" s="751"/>
      <c r="O6" s="751"/>
      <c r="P6" s="751"/>
      <c r="Q6" s="751"/>
    </row>
    <row r="7" spans="1:29" ht="24.75" thickBot="1">
      <c r="A7" s="2246"/>
      <c r="B7" s="315" t="s">
        <v>2260</v>
      </c>
      <c r="C7" s="2269" t="s">
        <v>2261</v>
      </c>
      <c r="D7" s="2243"/>
      <c r="E7" s="2270"/>
      <c r="F7" s="2271" t="s">
        <v>2265</v>
      </c>
      <c r="G7" s="2272" t="s">
        <v>2266</v>
      </c>
      <c r="H7" s="751"/>
      <c r="I7" s="751"/>
      <c r="J7" s="751"/>
      <c r="K7" s="751"/>
      <c r="L7" s="751"/>
      <c r="M7" s="751"/>
      <c r="N7" s="751"/>
      <c r="O7" s="751"/>
      <c r="P7" s="751"/>
      <c r="Q7" s="751"/>
    </row>
    <row r="8" spans="1:29">
      <c r="A8" s="2246"/>
      <c r="B8" s="315" t="s">
        <v>2263</v>
      </c>
      <c r="C8" s="2269" t="s">
        <v>2264</v>
      </c>
      <c r="D8" s="2243"/>
      <c r="E8" s="2243"/>
      <c r="F8" s="121"/>
      <c r="G8" s="121"/>
      <c r="H8" s="751"/>
      <c r="I8" s="751"/>
      <c r="J8" s="751"/>
      <c r="K8" s="751"/>
      <c r="L8" s="751"/>
      <c r="M8" s="751"/>
      <c r="N8" s="751"/>
      <c r="O8" s="751"/>
      <c r="P8" s="751"/>
      <c r="Q8" s="751"/>
    </row>
    <row r="9" spans="1:29" ht="24">
      <c r="A9" s="2246"/>
      <c r="B9" s="315" t="s">
        <v>2267</v>
      </c>
      <c r="C9" s="2267" t="s">
        <v>2268</v>
      </c>
      <c r="D9" s="2264"/>
      <c r="E9" s="2243"/>
      <c r="F9" s="121"/>
      <c r="G9" s="121"/>
      <c r="H9" s="751"/>
      <c r="I9" s="751"/>
      <c r="J9" s="751"/>
      <c r="K9" s="751"/>
      <c r="L9" s="751"/>
      <c r="M9" s="751"/>
      <c r="N9" s="751"/>
      <c r="O9" s="751"/>
      <c r="P9" s="751"/>
      <c r="Q9" s="751"/>
    </row>
    <row r="10" spans="1:29" ht="15" thickBot="1">
      <c r="A10" s="2247"/>
      <c r="B10" s="2273" t="s">
        <v>2269</v>
      </c>
      <c r="C10" s="2274"/>
      <c r="D10" s="2264"/>
      <c r="E10" s="2264"/>
      <c r="F10" s="121"/>
      <c r="G10" s="121"/>
      <c r="J10" s="2276"/>
      <c r="M10" s="2276"/>
      <c r="P10" s="2276"/>
      <c r="R10" s="2275"/>
    </row>
    <row r="11" spans="1:29">
      <c r="A11" s="2277"/>
      <c r="B11" s="2243"/>
      <c r="C11" s="2264"/>
      <c r="D11" s="2264"/>
      <c r="E11" s="2264"/>
      <c r="F11" s="2243"/>
      <c r="G11" s="2243"/>
      <c r="J11" s="2276"/>
      <c r="M11" s="2276"/>
      <c r="P11" s="2276"/>
      <c r="R11" s="2275"/>
    </row>
    <row r="12" spans="1:29" s="2257" customFormat="1" ht="18">
      <c r="A12" s="2277"/>
      <c r="B12" s="2243"/>
      <c r="C12" s="2264"/>
      <c r="D12" s="2278"/>
      <c r="E12" s="2264"/>
      <c r="F12" s="2243"/>
      <c r="G12" s="2243"/>
      <c r="H12" s="2279"/>
      <c r="I12" s="2279"/>
      <c r="J12" s="2279"/>
      <c r="K12" s="2279"/>
      <c r="L12" s="2280"/>
      <c r="M12" s="2279"/>
      <c r="N12" s="2281"/>
      <c r="O12" s="2281"/>
      <c r="P12" s="2281"/>
      <c r="Q12" s="2281"/>
      <c r="R12" s="2256"/>
      <c r="S12" s="2256"/>
      <c r="T12" s="2256"/>
      <c r="U12" s="2256"/>
      <c r="V12" s="2256"/>
      <c r="W12" s="2256"/>
      <c r="X12" s="2256"/>
      <c r="Y12" s="2256"/>
      <c r="Z12" s="2256"/>
      <c r="AA12" s="2256"/>
      <c r="AB12" s="2256"/>
      <c r="AC12" s="2256"/>
    </row>
    <row r="13" spans="1:29" ht="15.75" thickBot="1">
      <c r="A13" s="2282" t="s">
        <v>2287</v>
      </c>
      <c r="B13" s="2278"/>
      <c r="C13" s="2278"/>
      <c r="D13" s="2277"/>
      <c r="E13" s="2278"/>
      <c r="F13" s="2278"/>
      <c r="G13" s="2278"/>
    </row>
    <row r="14" spans="1:29" ht="15" thickBot="1">
      <c r="A14" s="2283"/>
      <c r="B14" s="2283"/>
      <c r="C14" s="2284" t="s">
        <v>2270</v>
      </c>
      <c r="D14" s="2264"/>
      <c r="E14" s="2285"/>
      <c r="F14" s="2285"/>
      <c r="G14" s="2260" t="s">
        <v>2271</v>
      </c>
    </row>
    <row r="15" spans="1:29" ht="51">
      <c r="A15" s="2248" t="s">
        <v>2272</v>
      </c>
      <c r="B15" s="2286" t="s">
        <v>2252</v>
      </c>
      <c r="C15" s="2287" t="str">
        <f>C3</f>
        <v>估价对象周边居住用地比例、居住小区规模和社区发展完善程度，综合评价居住社区成熟度一般</v>
      </c>
      <c r="D15" s="2264"/>
      <c r="E15" s="2249" t="s">
        <v>2273</v>
      </c>
      <c r="F15" s="2286" t="s">
        <v>2274</v>
      </c>
      <c r="G15" s="2288" t="str">
        <f>G3</f>
        <v>估价对象位于XX开发区，园区建设成熟度XX，产业集聚程度XX</v>
      </c>
    </row>
    <row r="16" spans="1:29" ht="38.25">
      <c r="A16" s="2250"/>
      <c r="B16" s="2289" t="s">
        <v>2254</v>
      </c>
      <c r="C16" s="2290" t="str">
        <f>C4</f>
        <v>估价对象位于XX商圈，周边商业氛围成熟，人流量大，商业繁华度好</v>
      </c>
      <c r="D16" s="2264"/>
      <c r="E16" s="2251"/>
      <c r="F16" s="2291" t="s">
        <v>2256</v>
      </c>
      <c r="G16" s="2292" t="str">
        <f>G4</f>
        <v>估价对象周边道路状况、公共交通通达情况、停车便捷程度，综合评价交通便捷度较好</v>
      </c>
    </row>
    <row r="17" spans="1:17" ht="38.25">
      <c r="A17" s="2250"/>
      <c r="B17" s="2289" t="s">
        <v>2258</v>
      </c>
      <c r="C17" s="2290" t="str">
        <f>C5</f>
        <v>估价对象位于XX商圈，周边办公楼项目较多，入驻率高，办公集聚程度较好</v>
      </c>
      <c r="D17" s="2243"/>
      <c r="E17" s="2251"/>
      <c r="F17" s="2291" t="s">
        <v>2275</v>
      </c>
      <c r="G17" s="2293"/>
    </row>
    <row r="18" spans="1:17" ht="38.25">
      <c r="A18" s="2250"/>
      <c r="B18" s="2291" t="s">
        <v>2262</v>
      </c>
      <c r="C18" s="2292" t="str">
        <f>C6</f>
        <v>估价对象周边道路状况、公共交通通达情况、停车便捷程度，综合评价交通便捷度较好</v>
      </c>
      <c r="D18" s="2243"/>
      <c r="E18" s="2251"/>
      <c r="F18" s="2291" t="s">
        <v>2265</v>
      </c>
      <c r="G18" s="2292" t="str">
        <f>G7</f>
        <v>该园区内是否有污染型企业，绿化情况，卫生条件，整体环境状况判断</v>
      </c>
    </row>
    <row r="19" spans="1:17" ht="25.5">
      <c r="A19" s="2250"/>
      <c r="B19" s="2291" t="s">
        <v>2276</v>
      </c>
      <c r="C19" s="2293"/>
      <c r="D19" s="2264"/>
      <c r="E19" s="2251"/>
      <c r="F19" s="315" t="s">
        <v>2260</v>
      </c>
      <c r="G19" s="2292" t="str">
        <f>G5</f>
        <v>估价对象所在区域公共配套设施齐备情况</v>
      </c>
    </row>
    <row r="20" spans="1:17" ht="25.5">
      <c r="A20" s="2250"/>
      <c r="B20" s="2291" t="s">
        <v>2277</v>
      </c>
      <c r="C20" s="2290" t="str">
        <f>C9</f>
        <v>区域自然环境：；人文环境；综合评价环境状况一般</v>
      </c>
      <c r="D20" s="2243"/>
      <c r="E20" s="2251"/>
      <c r="F20" s="315" t="s">
        <v>2263</v>
      </c>
      <c r="G20" s="2292" t="str">
        <f>G6</f>
        <v>估价对象所在区域基础设施水平</v>
      </c>
    </row>
    <row r="21" spans="1:17" ht="25.5">
      <c r="A21" s="2250"/>
      <c r="B21" s="315" t="s">
        <v>2260</v>
      </c>
      <c r="C21" s="2292" t="str">
        <f>C7</f>
        <v>估价对象所在区域公共配套设施齐备情况</v>
      </c>
      <c r="D21" s="2264"/>
      <c r="E21" s="2251"/>
      <c r="F21" s="2291" t="s">
        <v>2278</v>
      </c>
      <c r="G21" s="2294"/>
    </row>
    <row r="22" spans="1:17" ht="13.5" customHeight="1">
      <c r="A22" s="2250"/>
      <c r="B22" s="315" t="s">
        <v>2263</v>
      </c>
      <c r="C22" s="2292" t="str">
        <f>C8</f>
        <v>估价对象所在区域基础设施水平</v>
      </c>
      <c r="D22" s="2264"/>
      <c r="E22" s="2251"/>
      <c r="F22" s="2291" t="s">
        <v>2269</v>
      </c>
      <c r="G22" s="2293"/>
    </row>
    <row r="23" spans="1:17" s="751" customFormat="1" ht="15" thickBot="1">
      <c r="A23" s="2250"/>
      <c r="B23" s="2291" t="s">
        <v>2278</v>
      </c>
      <c r="C23" s="2294"/>
      <c r="D23" s="1614"/>
      <c r="E23" s="2252"/>
      <c r="F23" s="2295" t="s">
        <v>2279</v>
      </c>
      <c r="G23" s="2296"/>
      <c r="H23" s="2275"/>
      <c r="I23" s="2275"/>
      <c r="J23" s="2275"/>
      <c r="K23" s="2275"/>
      <c r="L23" s="2275"/>
      <c r="M23" s="2275"/>
      <c r="N23" s="2275"/>
      <c r="O23" s="2275"/>
      <c r="P23" s="2275"/>
      <c r="Q23" s="2275"/>
    </row>
    <row r="24" spans="1:17" s="751" customFormat="1" ht="15" thickBot="1">
      <c r="A24" s="2253"/>
      <c r="B24" s="2295" t="s">
        <v>2280</v>
      </c>
      <c r="C24" s="2297">
        <f>C10</f>
        <v>0</v>
      </c>
      <c r="D24" s="1614"/>
      <c r="E24" s="2243"/>
      <c r="F24" s="2243"/>
      <c r="G24" s="2243"/>
      <c r="H24" s="2275"/>
      <c r="I24" s="2275"/>
      <c r="J24" s="2275"/>
      <c r="K24" s="2275"/>
      <c r="L24" s="2275"/>
      <c r="M24" s="2275"/>
      <c r="N24" s="2275"/>
      <c r="O24" s="2275"/>
      <c r="P24" s="2275"/>
      <c r="Q24" s="2275"/>
    </row>
    <row r="25" spans="1:17" s="751" customFormat="1">
      <c r="B25" s="2275"/>
      <c r="C25" s="2275"/>
      <c r="D25" s="2275"/>
      <c r="H25" s="2275"/>
      <c r="I25" s="2275"/>
      <c r="J25" s="2275"/>
      <c r="K25" s="2275"/>
      <c r="L25" s="2275"/>
      <c r="M25" s="2275"/>
      <c r="N25" s="2275"/>
      <c r="O25" s="2275"/>
      <c r="P25" s="2275"/>
      <c r="Q25" s="2275"/>
    </row>
    <row r="26" spans="1:17" s="751" customFormat="1">
      <c r="B26" s="2275"/>
      <c r="C26" s="2275"/>
      <c r="D26" s="2275"/>
      <c r="H26" s="2275"/>
      <c r="I26" s="2275"/>
      <c r="J26" s="2275"/>
      <c r="K26" s="2275"/>
      <c r="L26" s="2275"/>
      <c r="M26" s="2275"/>
      <c r="N26" s="2275"/>
      <c r="O26" s="2275"/>
      <c r="P26" s="2275"/>
      <c r="Q26" s="2275"/>
    </row>
    <row r="27" spans="1:17" s="751" customFormat="1">
      <c r="B27" s="2275"/>
      <c r="C27" s="2275"/>
      <c r="D27" s="2275"/>
      <c r="H27" s="2275"/>
      <c r="I27" s="2275"/>
      <c r="J27" s="2275"/>
      <c r="K27" s="2275"/>
      <c r="L27" s="2275"/>
      <c r="M27" s="2275"/>
      <c r="N27" s="2275"/>
      <c r="O27" s="2275"/>
      <c r="P27" s="2275"/>
      <c r="Q27" s="2275"/>
    </row>
    <row r="28" spans="1:17" s="751" customFormat="1">
      <c r="B28" s="2275"/>
      <c r="C28" s="2275"/>
      <c r="D28" s="2275"/>
      <c r="H28" s="2275"/>
      <c r="I28" s="2275"/>
      <c r="J28" s="2275"/>
      <c r="K28" s="2275"/>
      <c r="L28" s="2275"/>
      <c r="M28" s="2275"/>
      <c r="N28" s="2275"/>
      <c r="O28" s="2275"/>
      <c r="P28" s="2275"/>
      <c r="Q28" s="2275"/>
    </row>
    <row r="29" spans="1:17" s="751" customFormat="1">
      <c r="B29" s="2275"/>
      <c r="C29" s="2275"/>
      <c r="D29" s="2275"/>
      <c r="H29" s="2275"/>
      <c r="I29" s="2275"/>
      <c r="J29" s="2275"/>
      <c r="K29" s="2275"/>
      <c r="L29" s="2275"/>
      <c r="M29" s="2275"/>
      <c r="N29" s="2275"/>
      <c r="O29" s="2275"/>
      <c r="P29" s="2275"/>
      <c r="Q29" s="2275"/>
    </row>
    <row r="30" spans="1:17" s="751" customFormat="1">
      <c r="B30" s="2275"/>
      <c r="C30" s="2275"/>
      <c r="D30" s="2275"/>
      <c r="H30" s="2275"/>
      <c r="I30" s="2275"/>
      <c r="J30" s="2275"/>
      <c r="K30" s="2275"/>
      <c r="L30" s="2275"/>
      <c r="M30" s="2275"/>
      <c r="N30" s="2275"/>
      <c r="O30" s="2275"/>
      <c r="P30" s="2275"/>
      <c r="Q30" s="2275"/>
    </row>
    <row r="31" spans="1:17" s="751" customFormat="1">
      <c r="B31" s="2275"/>
      <c r="C31" s="2275"/>
      <c r="D31" s="2275"/>
      <c r="H31" s="2275"/>
      <c r="I31" s="2275"/>
      <c r="J31" s="2275"/>
      <c r="K31" s="2275"/>
      <c r="L31" s="2275"/>
      <c r="M31" s="2275"/>
      <c r="N31" s="2275"/>
      <c r="O31" s="2275"/>
      <c r="P31" s="2275"/>
      <c r="Q31" s="2275"/>
    </row>
    <row r="32" spans="1:17" s="751" customFormat="1">
      <c r="B32" s="2275"/>
      <c r="C32" s="2275"/>
      <c r="D32" s="2275"/>
      <c r="H32" s="2275"/>
      <c r="I32" s="2275"/>
      <c r="J32" s="2275"/>
      <c r="K32" s="2275"/>
      <c r="L32" s="2275"/>
      <c r="M32" s="2275"/>
      <c r="N32" s="2275"/>
      <c r="O32" s="2275"/>
      <c r="P32" s="2275"/>
      <c r="Q32" s="2275"/>
    </row>
    <row r="33" spans="2:17" s="751" customFormat="1">
      <c r="B33" s="2275"/>
      <c r="C33" s="2275"/>
      <c r="D33" s="2275"/>
      <c r="H33" s="2275"/>
      <c r="I33" s="2275"/>
      <c r="J33" s="2275"/>
      <c r="K33" s="2275"/>
      <c r="L33" s="2275"/>
      <c r="M33" s="2275"/>
      <c r="N33" s="2275"/>
      <c r="O33" s="2275"/>
      <c r="P33" s="2275"/>
      <c r="Q33" s="2275"/>
    </row>
    <row r="34" spans="2:17" s="751" customFormat="1">
      <c r="B34" s="2275"/>
      <c r="C34" s="2275"/>
      <c r="D34" s="2275"/>
      <c r="H34" s="2275"/>
      <c r="I34" s="2275"/>
      <c r="J34" s="2275"/>
      <c r="K34" s="2275"/>
      <c r="L34" s="2275"/>
      <c r="M34" s="2275"/>
      <c r="N34" s="2275"/>
      <c r="O34" s="2275"/>
      <c r="P34" s="2275"/>
      <c r="Q34" s="2275"/>
    </row>
    <row r="35" spans="2:17" s="751" customFormat="1">
      <c r="B35" s="2275"/>
      <c r="C35" s="2275"/>
      <c r="D35" s="2275"/>
      <c r="H35" s="2275"/>
      <c r="I35" s="2275"/>
      <c r="J35" s="2275"/>
      <c r="K35" s="2275"/>
      <c r="L35" s="2275"/>
      <c r="M35" s="2275"/>
      <c r="N35" s="2275"/>
      <c r="O35" s="2275"/>
      <c r="P35" s="2275"/>
      <c r="Q35" s="2275"/>
    </row>
    <row r="36" spans="2:17" s="751" customFormat="1">
      <c r="B36" s="2275"/>
      <c r="C36" s="2275"/>
      <c r="D36" s="2275"/>
      <c r="H36" s="2275"/>
      <c r="I36" s="2275"/>
      <c r="J36" s="2275"/>
      <c r="K36" s="2275"/>
      <c r="L36" s="2275"/>
      <c r="M36" s="2275"/>
      <c r="N36" s="2275"/>
      <c r="O36" s="2275"/>
      <c r="P36" s="2275"/>
      <c r="Q36" s="2275"/>
    </row>
    <row r="37" spans="2:17" s="751" customFormat="1">
      <c r="B37" s="2275"/>
      <c r="C37" s="2275"/>
      <c r="D37" s="2275"/>
      <c r="H37" s="2275"/>
      <c r="I37" s="2275"/>
      <c r="J37" s="2275"/>
      <c r="K37" s="2275"/>
      <c r="L37" s="2275"/>
      <c r="M37" s="2275"/>
      <c r="N37" s="2275"/>
      <c r="O37" s="2275"/>
      <c r="P37" s="2275"/>
      <c r="Q37" s="2275"/>
    </row>
    <row r="38" spans="2:17" s="751" customFormat="1">
      <c r="B38" s="2275"/>
      <c r="C38" s="2275"/>
      <c r="D38" s="2275"/>
      <c r="E38" s="2275"/>
      <c r="F38" s="2275"/>
      <c r="G38" s="2275"/>
      <c r="H38" s="2275"/>
      <c r="I38" s="2275"/>
      <c r="J38" s="2275"/>
      <c r="K38" s="2275"/>
      <c r="L38" s="2275"/>
      <c r="M38" s="2275"/>
      <c r="N38" s="2275"/>
      <c r="O38" s="2275"/>
      <c r="P38" s="2275"/>
      <c r="Q38" s="2275"/>
    </row>
    <row r="39" spans="2:17" s="751" customFormat="1">
      <c r="B39" s="2275"/>
      <c r="C39" s="2275"/>
      <c r="D39" s="2275"/>
      <c r="E39" s="2275"/>
      <c r="F39" s="2275"/>
      <c r="G39" s="2275"/>
      <c r="H39" s="2275"/>
      <c r="I39" s="2275"/>
      <c r="J39" s="2275"/>
      <c r="K39" s="2275"/>
      <c r="L39" s="2275"/>
      <c r="M39" s="2275"/>
      <c r="N39" s="2275"/>
      <c r="O39" s="2275"/>
      <c r="P39" s="2275"/>
      <c r="Q39" s="2275"/>
    </row>
    <row r="40" spans="2:17" s="751" customFormat="1">
      <c r="B40" s="2275"/>
      <c r="C40" s="2275"/>
      <c r="D40" s="2275"/>
      <c r="E40" s="2275"/>
      <c r="F40" s="2275"/>
      <c r="G40" s="2275"/>
      <c r="H40" s="2275"/>
      <c r="I40" s="2275"/>
      <c r="J40" s="2275"/>
      <c r="K40" s="2275"/>
      <c r="L40" s="2275"/>
      <c r="M40" s="2275"/>
      <c r="N40" s="2275"/>
      <c r="O40" s="2275"/>
      <c r="P40" s="2275"/>
      <c r="Q40" s="2275"/>
    </row>
    <row r="41" spans="2:17" s="751" customFormat="1">
      <c r="B41" s="2275"/>
      <c r="C41" s="2275"/>
      <c r="D41" s="2275"/>
      <c r="E41" s="2275"/>
      <c r="F41" s="2275"/>
      <c r="G41" s="2275"/>
      <c r="H41" s="2275"/>
      <c r="I41" s="2275"/>
      <c r="J41" s="2275"/>
      <c r="K41" s="2275"/>
      <c r="L41" s="2275"/>
      <c r="M41" s="2275"/>
      <c r="N41" s="2275"/>
      <c r="O41" s="2275"/>
      <c r="P41" s="2275"/>
      <c r="Q41" s="2275"/>
    </row>
    <row r="42" spans="2:17" s="751" customFormat="1">
      <c r="B42" s="2275"/>
      <c r="C42" s="2275"/>
      <c r="D42" s="2275"/>
      <c r="E42" s="2275"/>
      <c r="F42" s="2275"/>
      <c r="G42" s="2275"/>
      <c r="H42" s="2275"/>
      <c r="I42" s="2275"/>
      <c r="J42" s="2275"/>
      <c r="K42" s="2275"/>
      <c r="L42" s="2275"/>
      <c r="M42" s="2275"/>
      <c r="N42" s="2275"/>
      <c r="O42" s="2275"/>
      <c r="P42" s="2275"/>
      <c r="Q42" s="2275"/>
    </row>
    <row r="43" spans="2:17" s="751" customFormat="1">
      <c r="B43" s="2275"/>
      <c r="C43" s="2275"/>
      <c r="D43" s="2275"/>
      <c r="E43" s="2275"/>
      <c r="F43" s="2275"/>
      <c r="G43" s="2275"/>
      <c r="H43" s="2275"/>
      <c r="I43" s="2275"/>
      <c r="J43" s="2275"/>
      <c r="K43" s="2275"/>
      <c r="L43" s="2275"/>
      <c r="M43" s="2275"/>
      <c r="N43" s="2275"/>
      <c r="O43" s="2275"/>
      <c r="P43" s="2275"/>
      <c r="Q43" s="2275"/>
    </row>
    <row r="44" spans="2:17" s="751" customFormat="1">
      <c r="B44" s="2275"/>
      <c r="C44" s="2275"/>
      <c r="D44" s="2275"/>
      <c r="E44" s="2275"/>
      <c r="F44" s="2275"/>
      <c r="G44" s="2275"/>
      <c r="H44" s="2275"/>
      <c r="I44" s="2275"/>
      <c r="J44" s="2275"/>
      <c r="K44" s="2275"/>
      <c r="L44" s="2275"/>
      <c r="M44" s="2275"/>
      <c r="N44" s="2275"/>
      <c r="O44" s="2275"/>
      <c r="P44" s="2275"/>
      <c r="Q44" s="2275"/>
    </row>
    <row r="45" spans="2:17" s="751" customFormat="1">
      <c r="B45" s="2275"/>
      <c r="C45" s="2275"/>
      <c r="D45" s="2275"/>
      <c r="E45" s="2275"/>
      <c r="F45" s="2275"/>
      <c r="G45" s="2275"/>
      <c r="H45" s="2275"/>
      <c r="I45" s="2275"/>
      <c r="J45" s="2275"/>
      <c r="K45" s="2275"/>
      <c r="L45" s="2275"/>
      <c r="M45" s="2275"/>
      <c r="N45" s="2275"/>
      <c r="O45" s="2275"/>
      <c r="P45" s="2275"/>
      <c r="Q45" s="2275"/>
    </row>
    <row r="46" spans="2:17" s="751" customFormat="1">
      <c r="B46" s="2275"/>
      <c r="C46" s="2275"/>
      <c r="D46" s="2275"/>
      <c r="E46" s="2275"/>
      <c r="F46" s="2275"/>
      <c r="G46" s="2275"/>
      <c r="H46" s="2275"/>
      <c r="I46" s="2275"/>
      <c r="J46" s="2275"/>
      <c r="K46" s="2275"/>
      <c r="L46" s="2275"/>
      <c r="M46" s="2275"/>
      <c r="N46" s="2275"/>
      <c r="O46" s="2275"/>
      <c r="P46" s="2275"/>
      <c r="Q46" s="2275"/>
    </row>
    <row r="47" spans="2:17" s="751" customFormat="1">
      <c r="B47" s="2275"/>
      <c r="C47" s="2275"/>
      <c r="D47" s="2275"/>
      <c r="E47" s="2275"/>
      <c r="F47" s="2275"/>
      <c r="G47" s="2275"/>
      <c r="H47" s="2275"/>
      <c r="I47" s="2275"/>
      <c r="J47" s="2275"/>
      <c r="K47" s="2275"/>
      <c r="L47" s="2275"/>
      <c r="M47" s="2275"/>
      <c r="N47" s="2275"/>
      <c r="O47" s="2275"/>
      <c r="P47" s="2275"/>
      <c r="Q47" s="2275"/>
    </row>
    <row r="48" spans="2:17" s="751" customFormat="1">
      <c r="B48" s="2275"/>
      <c r="C48" s="2275"/>
      <c r="D48" s="2275"/>
      <c r="E48" s="2275"/>
      <c r="F48" s="2275"/>
      <c r="G48" s="2275"/>
      <c r="H48" s="2275"/>
      <c r="I48" s="2275"/>
      <c r="J48" s="2275"/>
      <c r="K48" s="2275"/>
      <c r="L48" s="2275"/>
      <c r="M48" s="2275"/>
      <c r="N48" s="2275"/>
      <c r="O48" s="2275"/>
      <c r="P48" s="2275"/>
      <c r="Q48" s="2275"/>
    </row>
    <row r="49" spans="2:17" s="751" customFormat="1">
      <c r="B49" s="2275"/>
      <c r="C49" s="2275"/>
      <c r="D49" s="2275"/>
      <c r="E49" s="2275"/>
      <c r="F49" s="2275"/>
      <c r="G49" s="2275"/>
      <c r="H49" s="2275"/>
      <c r="I49" s="2275"/>
      <c r="J49" s="2275"/>
      <c r="K49" s="2275"/>
      <c r="L49" s="2275"/>
      <c r="M49" s="2275"/>
      <c r="N49" s="2275"/>
      <c r="O49" s="2275"/>
      <c r="P49" s="2275"/>
      <c r="Q49" s="2275"/>
    </row>
    <row r="50" spans="2:17" s="751" customFormat="1">
      <c r="B50" s="2275"/>
      <c r="C50" s="2275"/>
      <c r="D50" s="2275"/>
      <c r="E50" s="2275"/>
      <c r="F50" s="2275"/>
      <c r="G50" s="2275"/>
      <c r="H50" s="2275"/>
      <c r="I50" s="2275"/>
      <c r="J50" s="2275"/>
      <c r="K50" s="2275"/>
      <c r="L50" s="2275"/>
      <c r="M50" s="2275"/>
      <c r="N50" s="2275"/>
      <c r="O50" s="2275"/>
      <c r="P50" s="2275"/>
      <c r="Q50" s="2275"/>
    </row>
    <row r="51" spans="2:17" s="751" customFormat="1">
      <c r="B51" s="2275"/>
      <c r="C51" s="2275"/>
      <c r="D51" s="2275"/>
      <c r="E51" s="2275"/>
      <c r="F51" s="2275"/>
      <c r="G51" s="2275"/>
      <c r="H51" s="2275"/>
      <c r="I51" s="2275"/>
      <c r="J51" s="2275"/>
      <c r="K51" s="2275"/>
      <c r="L51" s="2275"/>
      <c r="M51" s="2275"/>
      <c r="N51" s="2275"/>
      <c r="O51" s="2275"/>
      <c r="P51" s="2275"/>
      <c r="Q51" s="2275"/>
    </row>
    <row r="52" spans="2:17" s="751" customFormat="1">
      <c r="B52" s="2275"/>
      <c r="C52" s="2275"/>
      <c r="D52" s="2275"/>
      <c r="E52" s="2275"/>
      <c r="F52" s="2275"/>
      <c r="G52" s="2275"/>
      <c r="H52" s="2275"/>
      <c r="I52" s="2275"/>
      <c r="J52" s="2275"/>
      <c r="K52" s="2275"/>
      <c r="L52" s="2275"/>
      <c r="M52" s="2275"/>
      <c r="N52" s="2275"/>
      <c r="O52" s="2275"/>
      <c r="P52" s="2275"/>
      <c r="Q52" s="2275"/>
    </row>
    <row r="53" spans="2:17" s="751" customFormat="1">
      <c r="B53" s="2275"/>
      <c r="C53" s="2275"/>
      <c r="D53" s="2275"/>
      <c r="E53" s="2275"/>
      <c r="F53" s="2275"/>
      <c r="G53" s="2275"/>
      <c r="H53" s="2275"/>
      <c r="I53" s="2275"/>
      <c r="J53" s="2275"/>
      <c r="K53" s="2275"/>
      <c r="L53" s="2275"/>
      <c r="M53" s="2275"/>
      <c r="N53" s="2275"/>
      <c r="O53" s="2275"/>
      <c r="P53" s="2275"/>
      <c r="Q53" s="2275"/>
    </row>
    <row r="54" spans="2:17" s="751" customFormat="1">
      <c r="B54" s="2275"/>
      <c r="C54" s="2275"/>
      <c r="D54" s="2275"/>
      <c r="E54" s="2275"/>
      <c r="F54" s="2275"/>
      <c r="G54" s="2275"/>
      <c r="H54" s="2275"/>
      <c r="I54" s="2275"/>
      <c r="J54" s="2275"/>
      <c r="K54" s="2275"/>
      <c r="L54" s="2275"/>
      <c r="M54" s="2275"/>
      <c r="N54" s="2275"/>
      <c r="O54" s="2275"/>
      <c r="P54" s="2275"/>
      <c r="Q54" s="2275"/>
    </row>
    <row r="55" spans="2:17" s="751" customFormat="1">
      <c r="B55" s="2275"/>
      <c r="C55" s="2275"/>
      <c r="D55" s="2275"/>
      <c r="E55" s="2275"/>
      <c r="F55" s="2275"/>
      <c r="G55" s="2275"/>
      <c r="H55" s="2275"/>
      <c r="I55" s="2275"/>
      <c r="J55" s="2275"/>
      <c r="K55" s="2275"/>
      <c r="L55" s="2275"/>
      <c r="M55" s="2275"/>
      <c r="N55" s="2275"/>
      <c r="O55" s="2275"/>
      <c r="P55" s="2275"/>
      <c r="Q55" s="2275"/>
    </row>
    <row r="56" spans="2:17" s="751" customFormat="1">
      <c r="B56" s="2275"/>
      <c r="C56" s="2275"/>
      <c r="D56" s="2275"/>
      <c r="E56" s="2275"/>
      <c r="F56" s="2275"/>
      <c r="G56" s="2275"/>
      <c r="H56" s="2275"/>
      <c r="I56" s="2275"/>
      <c r="J56" s="2275"/>
      <c r="K56" s="2275"/>
      <c r="L56" s="2275"/>
      <c r="M56" s="2275"/>
      <c r="N56" s="2275"/>
      <c r="O56" s="2275"/>
      <c r="P56" s="2275"/>
      <c r="Q56" s="2275"/>
    </row>
    <row r="57" spans="2:17" s="751" customFormat="1">
      <c r="B57" s="2275"/>
      <c r="C57" s="2275"/>
      <c r="D57" s="2275"/>
      <c r="E57" s="2275"/>
      <c r="F57" s="2275"/>
      <c r="G57" s="2275"/>
      <c r="H57" s="2275"/>
      <c r="I57" s="2275"/>
      <c r="J57" s="2275"/>
      <c r="K57" s="2275"/>
      <c r="L57" s="2275"/>
      <c r="M57" s="2275"/>
      <c r="N57" s="2275"/>
      <c r="O57" s="2275"/>
      <c r="P57" s="2275"/>
      <c r="Q57" s="2275"/>
    </row>
    <row r="58" spans="2:17" s="751" customFormat="1">
      <c r="B58" s="2275"/>
      <c r="C58" s="2275"/>
      <c r="D58" s="2275"/>
      <c r="E58" s="2275"/>
      <c r="F58" s="2275"/>
      <c r="G58" s="2275"/>
      <c r="H58" s="2275"/>
      <c r="I58" s="2275"/>
      <c r="J58" s="2275"/>
      <c r="K58" s="2275"/>
      <c r="L58" s="2275"/>
      <c r="M58" s="2275"/>
      <c r="N58" s="2275"/>
      <c r="O58" s="2275"/>
      <c r="P58" s="2275"/>
      <c r="Q58" s="2275"/>
    </row>
    <row r="59" spans="2:17" s="751" customFormat="1">
      <c r="B59" s="2275"/>
      <c r="C59" s="2275"/>
      <c r="D59" s="2275"/>
      <c r="E59" s="2275"/>
      <c r="F59" s="2275"/>
      <c r="G59" s="2275"/>
      <c r="H59" s="2275"/>
      <c r="I59" s="2275"/>
      <c r="J59" s="2275"/>
      <c r="K59" s="2275"/>
      <c r="L59" s="2275"/>
      <c r="M59" s="2275"/>
      <c r="N59" s="2275"/>
      <c r="O59" s="2275"/>
      <c r="P59" s="2275"/>
      <c r="Q59" s="2275"/>
    </row>
    <row r="60" spans="2:17" s="751" customFormat="1">
      <c r="B60" s="2275"/>
      <c r="C60" s="2275"/>
      <c r="D60" s="2275"/>
      <c r="E60" s="2275"/>
      <c r="F60" s="2275"/>
      <c r="G60" s="2275"/>
      <c r="H60" s="2275"/>
      <c r="I60" s="2275"/>
      <c r="J60" s="2275"/>
      <c r="K60" s="2275"/>
      <c r="L60" s="2275"/>
      <c r="M60" s="2275"/>
      <c r="N60" s="2275"/>
      <c r="O60" s="2275"/>
      <c r="P60" s="2275"/>
      <c r="Q60" s="2275"/>
    </row>
    <row r="61" spans="2:17" s="751" customFormat="1">
      <c r="B61" s="2275"/>
      <c r="C61" s="2275"/>
      <c r="D61" s="2275"/>
      <c r="E61" s="2275"/>
      <c r="F61" s="2275"/>
      <c r="G61" s="2275"/>
      <c r="H61" s="2275"/>
      <c r="I61" s="2275"/>
      <c r="J61" s="2275"/>
      <c r="K61" s="2275"/>
      <c r="L61" s="2275"/>
      <c r="M61" s="2275"/>
      <c r="N61" s="2275"/>
      <c r="O61" s="2275"/>
      <c r="P61" s="2275"/>
      <c r="Q61" s="2275"/>
    </row>
    <row r="62" spans="2:17" s="751" customFormat="1">
      <c r="B62" s="2275"/>
      <c r="C62" s="2275"/>
      <c r="D62" s="2275"/>
      <c r="E62" s="2275"/>
      <c r="F62" s="2275"/>
      <c r="G62" s="2275"/>
      <c r="H62" s="2275"/>
      <c r="I62" s="2275"/>
      <c r="J62" s="2275"/>
      <c r="K62" s="2275"/>
      <c r="L62" s="2275"/>
      <c r="M62" s="2275"/>
      <c r="N62" s="2275"/>
      <c r="O62" s="2275"/>
      <c r="P62" s="2275"/>
      <c r="Q62" s="2275"/>
    </row>
    <row r="63" spans="2:17" s="751" customFormat="1">
      <c r="B63" s="2275"/>
      <c r="C63" s="2275"/>
      <c r="D63" s="2275"/>
      <c r="E63" s="2275"/>
      <c r="F63" s="2275"/>
      <c r="G63" s="2275"/>
      <c r="H63" s="2275"/>
      <c r="I63" s="2275"/>
      <c r="J63" s="2275"/>
      <c r="K63" s="2275"/>
      <c r="L63" s="2275"/>
      <c r="M63" s="2275"/>
      <c r="N63" s="2275"/>
      <c r="O63" s="2275"/>
      <c r="P63" s="2275"/>
      <c r="Q63" s="2275"/>
    </row>
    <row r="64" spans="2:17" s="751" customFormat="1">
      <c r="B64" s="2275"/>
      <c r="C64" s="2275"/>
      <c r="D64" s="2275"/>
      <c r="E64" s="2275"/>
      <c r="F64" s="2275"/>
      <c r="G64" s="2275"/>
      <c r="H64" s="2275"/>
      <c r="I64" s="2275"/>
      <c r="J64" s="2275"/>
      <c r="K64" s="2275"/>
      <c r="L64" s="2275"/>
      <c r="M64" s="2275"/>
      <c r="N64" s="2275"/>
      <c r="O64" s="2275"/>
      <c r="P64" s="2275"/>
      <c r="Q64" s="2275"/>
    </row>
    <row r="65" spans="2:17" s="751" customFormat="1">
      <c r="B65" s="2275"/>
      <c r="C65" s="2275"/>
      <c r="D65" s="2275"/>
      <c r="E65" s="2275"/>
      <c r="F65" s="2275"/>
      <c r="G65" s="2275"/>
      <c r="H65" s="2275"/>
      <c r="I65" s="2275"/>
      <c r="J65" s="2275"/>
      <c r="K65" s="2275"/>
      <c r="L65" s="2275"/>
      <c r="M65" s="2275"/>
      <c r="N65" s="2275"/>
      <c r="O65" s="2275"/>
      <c r="P65" s="2275"/>
      <c r="Q65" s="2275"/>
    </row>
    <row r="66" spans="2:17" s="751" customFormat="1">
      <c r="B66" s="2275"/>
      <c r="C66" s="2275"/>
      <c r="D66" s="2275"/>
      <c r="E66" s="2275"/>
      <c r="F66" s="2275"/>
      <c r="G66" s="2275"/>
      <c r="H66" s="2275"/>
      <c r="I66" s="2275"/>
      <c r="J66" s="2275"/>
      <c r="K66" s="2275"/>
      <c r="L66" s="2275"/>
      <c r="M66" s="2275"/>
      <c r="N66" s="2275"/>
      <c r="O66" s="2275"/>
      <c r="P66" s="2275"/>
      <c r="Q66" s="2275"/>
    </row>
    <row r="67" spans="2:17" s="751" customFormat="1">
      <c r="B67" s="2275"/>
      <c r="C67" s="2275"/>
      <c r="D67" s="2275"/>
      <c r="E67" s="2275"/>
      <c r="F67" s="2275"/>
      <c r="G67" s="2275"/>
      <c r="H67" s="2275"/>
      <c r="I67" s="2275"/>
      <c r="J67" s="2275"/>
      <c r="K67" s="2275"/>
      <c r="L67" s="2275"/>
      <c r="M67" s="2275"/>
      <c r="N67" s="2275"/>
      <c r="O67" s="2275"/>
      <c r="P67" s="2275"/>
      <c r="Q67" s="2275"/>
    </row>
    <row r="68" spans="2:17" s="751" customFormat="1">
      <c r="B68" s="2275"/>
      <c r="C68" s="2275"/>
      <c r="D68" s="2275"/>
      <c r="E68" s="2275"/>
      <c r="F68" s="2275"/>
      <c r="G68" s="2275"/>
      <c r="H68" s="2275"/>
      <c r="I68" s="2275"/>
      <c r="J68" s="2275"/>
      <c r="K68" s="2275"/>
      <c r="L68" s="2275"/>
      <c r="M68" s="2275"/>
      <c r="N68" s="2275"/>
      <c r="O68" s="2275"/>
      <c r="P68" s="2275"/>
      <c r="Q68" s="2275"/>
    </row>
    <row r="69" spans="2:17" s="751" customFormat="1">
      <c r="B69" s="2275"/>
      <c r="C69" s="2275"/>
      <c r="D69" s="2275"/>
      <c r="E69" s="2275"/>
      <c r="F69" s="2275"/>
      <c r="G69" s="2275"/>
      <c r="H69" s="2275"/>
      <c r="I69" s="2275"/>
      <c r="J69" s="2275"/>
      <c r="K69" s="2275"/>
      <c r="L69" s="2275"/>
      <c r="M69" s="2275"/>
      <c r="N69" s="2275"/>
      <c r="O69" s="2275"/>
      <c r="P69" s="2275"/>
      <c r="Q69" s="2275"/>
    </row>
    <row r="70" spans="2:17" s="751" customFormat="1">
      <c r="B70" s="2275"/>
      <c r="C70" s="2275"/>
      <c r="D70" s="2275"/>
      <c r="E70" s="2275"/>
      <c r="F70" s="2275"/>
      <c r="G70" s="2275"/>
      <c r="H70" s="2275"/>
      <c r="I70" s="2275"/>
      <c r="J70" s="2275"/>
      <c r="K70" s="2275"/>
      <c r="L70" s="2275"/>
      <c r="M70" s="2275"/>
      <c r="N70" s="2275"/>
      <c r="O70" s="2275"/>
      <c r="P70" s="2275"/>
      <c r="Q70" s="2275"/>
    </row>
    <row r="71" spans="2:17" s="751" customFormat="1">
      <c r="B71" s="2275"/>
      <c r="C71" s="2275"/>
      <c r="D71" s="2275"/>
      <c r="E71" s="2275"/>
      <c r="F71" s="2275"/>
      <c r="G71" s="2275"/>
      <c r="H71" s="2275"/>
      <c r="I71" s="2275"/>
      <c r="J71" s="2275"/>
      <c r="K71" s="2275"/>
      <c r="L71" s="2275"/>
      <c r="M71" s="2275"/>
      <c r="N71" s="2275"/>
      <c r="O71" s="2275"/>
      <c r="P71" s="2275"/>
      <c r="Q71" s="2275"/>
    </row>
    <row r="72" spans="2:17" s="751" customFormat="1">
      <c r="B72" s="2275"/>
      <c r="C72" s="2275"/>
      <c r="D72" s="2275"/>
      <c r="E72" s="2275"/>
      <c r="F72" s="2275"/>
      <c r="G72" s="2275"/>
      <c r="H72" s="2275"/>
      <c r="I72" s="2275"/>
      <c r="J72" s="2275"/>
      <c r="K72" s="2275"/>
      <c r="L72" s="2275"/>
      <c r="M72" s="2275"/>
      <c r="N72" s="2275"/>
      <c r="O72" s="2275"/>
      <c r="P72" s="2275"/>
      <c r="Q72" s="2275"/>
    </row>
    <row r="73" spans="2:17" s="751" customFormat="1">
      <c r="B73" s="2275"/>
      <c r="C73" s="2275"/>
      <c r="D73" s="2275"/>
      <c r="E73" s="2275"/>
      <c r="F73" s="2275"/>
      <c r="G73" s="2275"/>
      <c r="H73" s="2275"/>
      <c r="I73" s="2275"/>
      <c r="J73" s="2275"/>
      <c r="K73" s="2275"/>
      <c r="L73" s="2275"/>
      <c r="M73" s="2275"/>
      <c r="N73" s="2275"/>
      <c r="O73" s="2275"/>
      <c r="P73" s="2275"/>
      <c r="Q73" s="2275"/>
    </row>
    <row r="74" spans="2:17" s="751" customFormat="1">
      <c r="B74" s="2275"/>
      <c r="C74" s="2275"/>
      <c r="D74" s="2275"/>
      <c r="E74" s="2275"/>
      <c r="F74" s="2275"/>
      <c r="G74" s="2275"/>
      <c r="H74" s="2275"/>
      <c r="I74" s="2275"/>
      <c r="J74" s="2275"/>
      <c r="K74" s="2275"/>
      <c r="L74" s="2275"/>
      <c r="M74" s="2275"/>
      <c r="N74" s="2275"/>
      <c r="O74" s="2275"/>
      <c r="P74" s="2275"/>
      <c r="Q74" s="2275"/>
    </row>
    <row r="75" spans="2:17" s="751" customFormat="1">
      <c r="B75" s="2275"/>
      <c r="C75" s="2275"/>
      <c r="D75" s="2275"/>
      <c r="E75" s="2275"/>
      <c r="F75" s="2275"/>
      <c r="G75" s="2275"/>
      <c r="H75" s="2275"/>
      <c r="I75" s="2275"/>
      <c r="J75" s="2275"/>
      <c r="K75" s="2275"/>
      <c r="L75" s="2275"/>
      <c r="M75" s="2275"/>
      <c r="N75" s="2275"/>
      <c r="O75" s="2275"/>
      <c r="P75" s="2275"/>
      <c r="Q75" s="2275"/>
    </row>
    <row r="76" spans="2:17" s="751" customFormat="1">
      <c r="B76" s="2275"/>
      <c r="C76" s="2275"/>
      <c r="D76" s="2275"/>
      <c r="E76" s="2275"/>
      <c r="F76" s="2275"/>
      <c r="G76" s="2275"/>
      <c r="H76" s="2275"/>
      <c r="I76" s="2275"/>
      <c r="J76" s="2275"/>
      <c r="K76" s="2275"/>
      <c r="L76" s="2275"/>
      <c r="M76" s="2275"/>
      <c r="N76" s="2275"/>
      <c r="O76" s="2275"/>
      <c r="P76" s="2275"/>
      <c r="Q76" s="2275"/>
    </row>
    <row r="77" spans="2:17" s="751" customFormat="1">
      <c r="B77" s="2275"/>
      <c r="C77" s="2275"/>
      <c r="D77" s="2275"/>
      <c r="E77" s="2275"/>
      <c r="F77" s="2275"/>
      <c r="G77" s="2275"/>
      <c r="H77" s="2275"/>
      <c r="I77" s="2275"/>
      <c r="J77" s="2275"/>
      <c r="K77" s="2275"/>
      <c r="L77" s="2275"/>
      <c r="M77" s="2275"/>
      <c r="N77" s="2275"/>
      <c r="O77" s="2275"/>
      <c r="P77" s="2275"/>
      <c r="Q77" s="2275"/>
    </row>
    <row r="78" spans="2:17" s="751" customFormat="1">
      <c r="B78" s="2275"/>
      <c r="C78" s="2275"/>
      <c r="D78" s="2275"/>
      <c r="E78" s="2275"/>
      <c r="F78" s="2275"/>
      <c r="G78" s="2275"/>
      <c r="H78" s="2275"/>
      <c r="I78" s="2275"/>
      <c r="J78" s="2275"/>
      <c r="K78" s="2275"/>
      <c r="L78" s="2275"/>
      <c r="M78" s="2275"/>
      <c r="N78" s="2275"/>
      <c r="O78" s="2275"/>
      <c r="P78" s="2275"/>
      <c r="Q78" s="2275"/>
    </row>
    <row r="79" spans="2:17" s="751" customFormat="1">
      <c r="B79" s="2275"/>
      <c r="C79" s="2275"/>
      <c r="D79" s="2275"/>
      <c r="E79" s="2275"/>
      <c r="F79" s="2275"/>
      <c r="G79" s="2275"/>
      <c r="H79" s="2275"/>
      <c r="I79" s="2275"/>
      <c r="J79" s="2275"/>
      <c r="K79" s="2275"/>
      <c r="L79" s="2275"/>
      <c r="M79" s="2275"/>
      <c r="N79" s="2275"/>
      <c r="O79" s="2275"/>
      <c r="P79" s="2275"/>
      <c r="Q79" s="2275"/>
    </row>
    <row r="80" spans="2:17" s="751" customFormat="1">
      <c r="B80" s="2275"/>
      <c r="C80" s="2275"/>
      <c r="D80" s="2275"/>
      <c r="E80" s="2275"/>
      <c r="F80" s="2275"/>
      <c r="G80" s="2275"/>
      <c r="H80" s="2275"/>
      <c r="I80" s="2275"/>
      <c r="J80" s="2275"/>
      <c r="K80" s="2275"/>
      <c r="L80" s="2275"/>
      <c r="M80" s="2275"/>
      <c r="N80" s="2275"/>
      <c r="O80" s="2275"/>
      <c r="P80" s="2275"/>
      <c r="Q80" s="2275"/>
    </row>
    <row r="81" spans="2:17" s="751" customFormat="1">
      <c r="B81" s="2275"/>
      <c r="C81" s="2275"/>
      <c r="D81" s="2275"/>
      <c r="E81" s="2275"/>
      <c r="F81" s="2275"/>
      <c r="G81" s="2275"/>
      <c r="H81" s="2275"/>
      <c r="I81" s="2275"/>
      <c r="J81" s="2275"/>
      <c r="K81" s="2275"/>
      <c r="L81" s="2275"/>
      <c r="M81" s="2275"/>
      <c r="N81" s="2275"/>
      <c r="O81" s="2275"/>
      <c r="P81" s="2275"/>
      <c r="Q81" s="2275"/>
    </row>
    <row r="82" spans="2:17" s="751" customFormat="1">
      <c r="B82" s="2275"/>
      <c r="C82" s="2275"/>
      <c r="D82" s="2275"/>
      <c r="E82" s="2275"/>
      <c r="F82" s="2275"/>
      <c r="G82" s="2275"/>
      <c r="H82" s="2275"/>
      <c r="I82" s="2275"/>
      <c r="J82" s="2275"/>
      <c r="K82" s="2275"/>
      <c r="L82" s="2275"/>
      <c r="M82" s="2275"/>
      <c r="N82" s="2275"/>
      <c r="O82" s="2275"/>
      <c r="P82" s="2275"/>
      <c r="Q82" s="2275"/>
    </row>
    <row r="83" spans="2:17" s="751" customFormat="1">
      <c r="B83" s="2275"/>
      <c r="C83" s="2275"/>
      <c r="D83" s="2275"/>
      <c r="E83" s="2275"/>
      <c r="F83" s="2275"/>
      <c r="G83" s="2275"/>
      <c r="H83" s="2275"/>
      <c r="I83" s="2275"/>
      <c r="J83" s="2275"/>
      <c r="K83" s="2275"/>
      <c r="L83" s="2275"/>
      <c r="M83" s="2275"/>
      <c r="N83" s="2275"/>
      <c r="O83" s="2275"/>
      <c r="P83" s="2275"/>
      <c r="Q83" s="2275"/>
    </row>
    <row r="84" spans="2:17" s="751" customFormat="1">
      <c r="B84" s="2275"/>
      <c r="C84" s="2275"/>
      <c r="D84" s="2275"/>
      <c r="E84" s="2275"/>
      <c r="F84" s="2275"/>
      <c r="G84" s="2275"/>
      <c r="H84" s="2275"/>
      <c r="I84" s="2275"/>
      <c r="J84" s="2275"/>
      <c r="K84" s="2275"/>
      <c r="L84" s="2275"/>
      <c r="M84" s="2275"/>
      <c r="N84" s="2275"/>
      <c r="O84" s="2275"/>
      <c r="P84" s="2275"/>
      <c r="Q84" s="2275"/>
    </row>
    <row r="85" spans="2:17" s="751" customFormat="1">
      <c r="B85" s="2275"/>
      <c r="C85" s="2275"/>
      <c r="D85" s="2275"/>
      <c r="E85" s="2275"/>
      <c r="F85" s="2275"/>
      <c r="G85" s="2275"/>
      <c r="H85" s="2275"/>
      <c r="I85" s="2275"/>
      <c r="J85" s="2275"/>
      <c r="K85" s="2275"/>
      <c r="L85" s="2275"/>
      <c r="M85" s="2275"/>
      <c r="N85" s="2275"/>
      <c r="O85" s="2275"/>
      <c r="P85" s="2275"/>
      <c r="Q85" s="2275"/>
    </row>
    <row r="86" spans="2:17" s="751" customFormat="1">
      <c r="B86" s="2275"/>
      <c r="C86" s="2275"/>
      <c r="D86" s="2275"/>
      <c r="E86" s="2275"/>
      <c r="F86" s="2275"/>
      <c r="G86" s="2275"/>
      <c r="H86" s="2275"/>
      <c r="I86" s="2275"/>
      <c r="J86" s="2275"/>
      <c r="K86" s="2275"/>
      <c r="L86" s="2275"/>
      <c r="M86" s="2275"/>
      <c r="N86" s="2275"/>
      <c r="O86" s="2275"/>
      <c r="P86" s="2275"/>
      <c r="Q86" s="2275"/>
    </row>
    <row r="87" spans="2:17" s="751" customFormat="1">
      <c r="B87" s="2275"/>
      <c r="C87" s="2275"/>
      <c r="D87" s="2275"/>
      <c r="E87" s="2275"/>
      <c r="F87" s="2275"/>
      <c r="G87" s="2275"/>
      <c r="H87" s="2275"/>
      <c r="I87" s="2275"/>
      <c r="J87" s="2275"/>
      <c r="K87" s="2275"/>
      <c r="L87" s="2275"/>
      <c r="M87" s="2275"/>
      <c r="N87" s="2275"/>
      <c r="O87" s="2275"/>
      <c r="P87" s="2275"/>
      <c r="Q87" s="2275"/>
    </row>
    <row r="88" spans="2:17" s="751" customFormat="1">
      <c r="B88" s="2275"/>
      <c r="C88" s="2275"/>
      <c r="D88" s="2275"/>
      <c r="E88" s="2275"/>
      <c r="F88" s="2275"/>
      <c r="G88" s="2275"/>
      <c r="H88" s="2275"/>
      <c r="I88" s="2275"/>
      <c r="J88" s="2275"/>
      <c r="K88" s="2275"/>
      <c r="L88" s="2275"/>
      <c r="M88" s="2275"/>
      <c r="N88" s="2275"/>
      <c r="O88" s="2275"/>
      <c r="P88" s="2275"/>
      <c r="Q88" s="2275"/>
    </row>
    <row r="89" spans="2:17" s="751" customFormat="1">
      <c r="B89" s="2275"/>
      <c r="C89" s="2275"/>
      <c r="D89" s="2275"/>
      <c r="E89" s="2275"/>
      <c r="F89" s="2275"/>
      <c r="G89" s="2275"/>
      <c r="H89" s="2275"/>
      <c r="I89" s="2275"/>
      <c r="J89" s="2275"/>
      <c r="K89" s="2275"/>
      <c r="L89" s="2275"/>
      <c r="M89" s="2275"/>
      <c r="N89" s="2275"/>
      <c r="O89" s="2275"/>
      <c r="P89" s="2275"/>
      <c r="Q89" s="2275"/>
    </row>
    <row r="90" spans="2:17" s="751" customFormat="1">
      <c r="B90" s="2275"/>
      <c r="C90" s="2275"/>
      <c r="D90" s="2275"/>
      <c r="E90" s="2275"/>
      <c r="F90" s="2275"/>
      <c r="G90" s="2275"/>
      <c r="H90" s="2275"/>
      <c r="I90" s="2275"/>
      <c r="J90" s="2275"/>
      <c r="K90" s="2275"/>
      <c r="L90" s="2275"/>
      <c r="M90" s="2275"/>
      <c r="N90" s="2275"/>
      <c r="O90" s="2275"/>
      <c r="P90" s="2275"/>
      <c r="Q90" s="2275"/>
    </row>
    <row r="91" spans="2:17" s="751" customFormat="1">
      <c r="B91" s="2275"/>
      <c r="C91" s="2275"/>
      <c r="D91" s="2275"/>
      <c r="E91" s="2275"/>
      <c r="F91" s="2275"/>
      <c r="G91" s="2275"/>
      <c r="H91" s="2275"/>
      <c r="I91" s="2275"/>
      <c r="J91" s="2275"/>
      <c r="K91" s="2275"/>
      <c r="L91" s="2275"/>
      <c r="M91" s="2275"/>
      <c r="N91" s="2275"/>
      <c r="O91" s="2275"/>
      <c r="P91" s="2275"/>
      <c r="Q91" s="2275"/>
    </row>
    <row r="92" spans="2:17" s="751" customFormat="1">
      <c r="B92" s="2275"/>
      <c r="C92" s="2275"/>
      <c r="D92" s="2275"/>
      <c r="E92" s="2275"/>
      <c r="F92" s="2275"/>
      <c r="G92" s="2275"/>
      <c r="H92" s="2275"/>
      <c r="I92" s="2275"/>
      <c r="J92" s="2275"/>
      <c r="K92" s="2275"/>
      <c r="L92" s="2275"/>
      <c r="M92" s="2275"/>
      <c r="N92" s="2275"/>
      <c r="O92" s="2275"/>
      <c r="P92" s="2275"/>
      <c r="Q92" s="2275"/>
    </row>
    <row r="93" spans="2:17" s="751" customFormat="1">
      <c r="B93" s="2275"/>
      <c r="C93" s="2275"/>
      <c r="D93" s="2275"/>
      <c r="E93" s="2275"/>
      <c r="F93" s="2275"/>
      <c r="G93" s="2275"/>
      <c r="H93" s="2275"/>
      <c r="I93" s="2275"/>
      <c r="J93" s="2275"/>
      <c r="K93" s="2275"/>
      <c r="L93" s="2275"/>
      <c r="M93" s="2275"/>
      <c r="N93" s="2275"/>
      <c r="O93" s="2275"/>
      <c r="P93" s="2275"/>
      <c r="Q93" s="2275"/>
    </row>
    <row r="94" spans="2:17" s="751" customFormat="1">
      <c r="B94" s="2275"/>
      <c r="C94" s="2275"/>
      <c r="D94" s="2275"/>
      <c r="E94" s="2275"/>
      <c r="F94" s="2275"/>
      <c r="G94" s="2275"/>
      <c r="H94" s="2275"/>
      <c r="I94" s="2275"/>
      <c r="J94" s="2275"/>
      <c r="K94" s="2275"/>
      <c r="L94" s="2275"/>
      <c r="M94" s="2275"/>
      <c r="N94" s="2275"/>
      <c r="O94" s="2275"/>
      <c r="P94" s="2275"/>
      <c r="Q94" s="2275"/>
    </row>
    <row r="95" spans="2:17" s="751" customFormat="1">
      <c r="B95" s="2275"/>
      <c r="C95" s="2275"/>
      <c r="D95" s="2275"/>
      <c r="E95" s="2275"/>
      <c r="F95" s="2275"/>
      <c r="G95" s="2275"/>
      <c r="H95" s="2275"/>
      <c r="I95" s="2275"/>
      <c r="J95" s="2275"/>
      <c r="K95" s="2275"/>
      <c r="L95" s="2275"/>
      <c r="M95" s="2275"/>
      <c r="N95" s="2275"/>
      <c r="O95" s="2275"/>
      <c r="P95" s="2275"/>
      <c r="Q95" s="2275"/>
    </row>
    <row r="96" spans="2:17" s="751" customFormat="1">
      <c r="B96" s="2275"/>
      <c r="C96" s="2275"/>
      <c r="D96" s="2275"/>
      <c r="E96" s="2275"/>
      <c r="F96" s="2275"/>
      <c r="G96" s="2275"/>
      <c r="H96" s="2275"/>
      <c r="I96" s="2275"/>
      <c r="J96" s="2275"/>
      <c r="K96" s="2275"/>
      <c r="L96" s="2275"/>
      <c r="M96" s="2275"/>
      <c r="N96" s="2275"/>
      <c r="O96" s="2275"/>
      <c r="P96" s="2275"/>
      <c r="Q96" s="2275"/>
    </row>
    <row r="97" spans="2:17" s="751" customFormat="1">
      <c r="B97" s="2275"/>
      <c r="C97" s="2275"/>
      <c r="D97" s="2275"/>
      <c r="E97" s="2275"/>
      <c r="F97" s="2275"/>
      <c r="G97" s="2275"/>
      <c r="H97" s="2275"/>
      <c r="I97" s="2275"/>
      <c r="J97" s="2275"/>
      <c r="K97" s="2275"/>
      <c r="L97" s="2275"/>
      <c r="M97" s="2275"/>
      <c r="N97" s="2275"/>
      <c r="O97" s="2275"/>
      <c r="P97" s="2275"/>
      <c r="Q97" s="2275"/>
    </row>
    <row r="98" spans="2:17" s="751" customFormat="1">
      <c r="B98" s="2275"/>
      <c r="C98" s="2275"/>
      <c r="D98" s="2275"/>
      <c r="E98" s="2275"/>
      <c r="F98" s="2275"/>
      <c r="G98" s="2275"/>
      <c r="H98" s="2275"/>
      <c r="I98" s="2275"/>
      <c r="J98" s="2275"/>
      <c r="K98" s="2275"/>
      <c r="L98" s="2275"/>
      <c r="M98" s="2275"/>
      <c r="N98" s="2275"/>
      <c r="O98" s="2275"/>
      <c r="P98" s="2275"/>
      <c r="Q98" s="2275"/>
    </row>
    <row r="99" spans="2:17" s="751" customFormat="1">
      <c r="B99" s="2275"/>
      <c r="C99" s="2275"/>
      <c r="D99" s="2275"/>
      <c r="E99" s="2275"/>
      <c r="F99" s="2275"/>
      <c r="G99" s="2275"/>
      <c r="H99" s="2275"/>
      <c r="I99" s="2275"/>
      <c r="J99" s="2275"/>
      <c r="K99" s="2275"/>
      <c r="L99" s="2275"/>
      <c r="M99" s="2275"/>
      <c r="N99" s="2275"/>
      <c r="O99" s="2275"/>
      <c r="P99" s="2275"/>
      <c r="Q99" s="2275"/>
    </row>
    <row r="100" spans="2:17" s="751" customFormat="1">
      <c r="B100" s="2275"/>
      <c r="C100" s="2275"/>
      <c r="D100" s="2275"/>
      <c r="E100" s="2275"/>
      <c r="F100" s="2275"/>
      <c r="G100" s="2275"/>
      <c r="H100" s="2275"/>
      <c r="I100" s="2275"/>
      <c r="J100" s="2275"/>
      <c r="K100" s="2275"/>
      <c r="L100" s="2275"/>
      <c r="M100" s="2275"/>
      <c r="N100" s="2275"/>
      <c r="O100" s="2275"/>
      <c r="P100" s="2275"/>
      <c r="Q100" s="2275"/>
    </row>
    <row r="101" spans="2:17" s="751" customFormat="1">
      <c r="B101" s="2275"/>
      <c r="C101" s="2275"/>
      <c r="D101" s="2275"/>
      <c r="E101" s="2275"/>
      <c r="F101" s="2275"/>
      <c r="G101" s="2275"/>
      <c r="H101" s="2275"/>
      <c r="I101" s="2275"/>
      <c r="J101" s="2275"/>
      <c r="K101" s="2275"/>
      <c r="L101" s="2275"/>
      <c r="M101" s="2275"/>
      <c r="N101" s="2275"/>
      <c r="O101" s="2275"/>
      <c r="P101" s="2275"/>
      <c r="Q101" s="2275"/>
    </row>
    <row r="102" spans="2:17" s="751" customFormat="1">
      <c r="B102" s="2275"/>
      <c r="C102" s="2275"/>
      <c r="D102" s="2275"/>
      <c r="E102" s="2275"/>
      <c r="F102" s="2275"/>
      <c r="G102" s="2275"/>
      <c r="H102" s="2275"/>
      <c r="I102" s="2275"/>
      <c r="J102" s="2275"/>
      <c r="K102" s="2275"/>
      <c r="L102" s="2275"/>
      <c r="M102" s="2275"/>
      <c r="N102" s="2275"/>
      <c r="O102" s="2275"/>
      <c r="P102" s="2275"/>
      <c r="Q102" s="2275"/>
    </row>
    <row r="103" spans="2:17" s="751" customFormat="1">
      <c r="B103" s="2275"/>
      <c r="C103" s="2275"/>
      <c r="D103" s="2275"/>
      <c r="E103" s="2275"/>
      <c r="F103" s="2275"/>
      <c r="G103" s="2275"/>
      <c r="H103" s="2275"/>
      <c r="I103" s="2275"/>
      <c r="J103" s="2275"/>
      <c r="K103" s="2275"/>
      <c r="L103" s="2275"/>
      <c r="M103" s="2275"/>
      <c r="N103" s="2275"/>
      <c r="O103" s="2275"/>
      <c r="P103" s="2275"/>
      <c r="Q103" s="2275"/>
    </row>
    <row r="104" spans="2:17" s="751" customFormat="1">
      <c r="B104" s="2275"/>
      <c r="C104" s="2275"/>
      <c r="D104" s="2275"/>
      <c r="E104" s="2275"/>
      <c r="F104" s="2275"/>
      <c r="G104" s="2275"/>
      <c r="H104" s="2275"/>
      <c r="I104" s="2275"/>
      <c r="J104" s="2275"/>
      <c r="K104" s="2275"/>
      <c r="L104" s="2275"/>
      <c r="M104" s="2275"/>
      <c r="N104" s="2275"/>
      <c r="O104" s="2275"/>
      <c r="P104" s="2275"/>
      <c r="Q104" s="2275"/>
    </row>
    <row r="105" spans="2:17" s="751" customFormat="1">
      <c r="B105" s="2275"/>
      <c r="C105" s="2275"/>
      <c r="D105" s="2275"/>
      <c r="E105" s="2275"/>
      <c r="F105" s="2275"/>
      <c r="G105" s="2275"/>
      <c r="H105" s="2275"/>
      <c r="I105" s="2275"/>
      <c r="J105" s="2275"/>
      <c r="K105" s="2275"/>
      <c r="L105" s="2275"/>
      <c r="M105" s="2275"/>
      <c r="N105" s="2275"/>
      <c r="O105" s="2275"/>
      <c r="P105" s="2275"/>
      <c r="Q105" s="2275"/>
    </row>
    <row r="106" spans="2:17" s="751" customFormat="1">
      <c r="B106" s="2275"/>
      <c r="C106" s="2275"/>
      <c r="D106" s="2275"/>
      <c r="E106" s="2275"/>
      <c r="F106" s="2275"/>
      <c r="G106" s="2275"/>
      <c r="H106" s="2275"/>
      <c r="I106" s="2275"/>
      <c r="J106" s="2275"/>
      <c r="K106" s="2275"/>
      <c r="L106" s="2275"/>
      <c r="M106" s="2275"/>
      <c r="N106" s="2275"/>
      <c r="O106" s="2275"/>
      <c r="P106" s="2275"/>
      <c r="Q106" s="2275"/>
    </row>
    <row r="107" spans="2:17" s="751" customFormat="1">
      <c r="B107" s="2275"/>
      <c r="C107" s="2275"/>
      <c r="D107" s="2275"/>
      <c r="E107" s="2275"/>
      <c r="F107" s="2275"/>
      <c r="G107" s="2275"/>
      <c r="H107" s="2275"/>
      <c r="I107" s="2275"/>
      <c r="J107" s="2275"/>
      <c r="K107" s="2275"/>
      <c r="L107" s="2275"/>
      <c r="M107" s="2275"/>
      <c r="N107" s="2275"/>
      <c r="O107" s="2275"/>
      <c r="P107" s="2275"/>
      <c r="Q107" s="2275"/>
    </row>
    <row r="108" spans="2:17" s="751" customFormat="1">
      <c r="B108" s="2275"/>
      <c r="C108" s="2275"/>
      <c r="D108" s="2275"/>
      <c r="E108" s="2275"/>
      <c r="F108" s="2275"/>
      <c r="G108" s="2275"/>
      <c r="H108" s="2275"/>
      <c r="I108" s="2275"/>
      <c r="J108" s="2275"/>
      <c r="K108" s="2275"/>
      <c r="L108" s="2275"/>
      <c r="M108" s="2275"/>
      <c r="N108" s="2275"/>
      <c r="O108" s="2275"/>
      <c r="P108" s="2275"/>
      <c r="Q108" s="2275"/>
    </row>
    <row r="109" spans="2:17" s="751" customFormat="1">
      <c r="B109" s="2275"/>
      <c r="C109" s="2275"/>
      <c r="D109" s="2275"/>
      <c r="E109" s="2275"/>
      <c r="F109" s="2275"/>
      <c r="G109" s="2275"/>
      <c r="H109" s="2275"/>
      <c r="I109" s="2275"/>
      <c r="J109" s="2275"/>
      <c r="K109" s="2275"/>
      <c r="L109" s="2275"/>
      <c r="M109" s="2275"/>
      <c r="N109" s="2275"/>
      <c r="O109" s="2275"/>
      <c r="P109" s="2275"/>
      <c r="Q109" s="2275"/>
    </row>
    <row r="110" spans="2:17" s="751" customFormat="1">
      <c r="B110" s="2275"/>
      <c r="C110" s="2275"/>
      <c r="D110" s="2275"/>
      <c r="E110" s="2275"/>
      <c r="F110" s="2275"/>
      <c r="G110" s="2275"/>
      <c r="H110" s="2275"/>
      <c r="I110" s="2275"/>
      <c r="J110" s="2275"/>
      <c r="K110" s="2275"/>
      <c r="L110" s="2275"/>
      <c r="M110" s="2275"/>
      <c r="N110" s="2275"/>
      <c r="O110" s="2275"/>
      <c r="P110" s="2275"/>
      <c r="Q110" s="2275"/>
    </row>
    <row r="111" spans="2:17" s="751" customFormat="1">
      <c r="B111" s="2275"/>
      <c r="C111" s="2275"/>
      <c r="D111" s="2275"/>
      <c r="E111" s="2275"/>
      <c r="F111" s="2275"/>
      <c r="G111" s="2275"/>
      <c r="H111" s="2275"/>
      <c r="I111" s="2275"/>
      <c r="J111" s="2275"/>
      <c r="K111" s="2275"/>
      <c r="L111" s="2275"/>
      <c r="M111" s="2275"/>
      <c r="N111" s="2275"/>
      <c r="O111" s="2275"/>
      <c r="P111" s="2275"/>
      <c r="Q111" s="2275"/>
    </row>
    <row r="112" spans="2:17" s="751" customFormat="1">
      <c r="B112" s="2275"/>
      <c r="C112" s="2275"/>
      <c r="D112" s="2275"/>
      <c r="E112" s="2275"/>
      <c r="F112" s="2275"/>
      <c r="G112" s="2275"/>
      <c r="H112" s="2275"/>
      <c r="I112" s="2275"/>
      <c r="J112" s="2275"/>
      <c r="K112" s="2275"/>
      <c r="L112" s="2275"/>
      <c r="M112" s="2275"/>
      <c r="N112" s="2275"/>
      <c r="O112" s="2275"/>
      <c r="P112" s="2275"/>
      <c r="Q112" s="2275"/>
    </row>
    <row r="113" spans="2:17" s="751" customFormat="1">
      <c r="B113" s="2275"/>
      <c r="C113" s="2275"/>
      <c r="D113" s="2275"/>
      <c r="E113" s="2275"/>
      <c r="F113" s="2275"/>
      <c r="G113" s="2275"/>
      <c r="H113" s="2275"/>
      <c r="I113" s="2275"/>
      <c r="J113" s="2275"/>
      <c r="K113" s="2275"/>
      <c r="L113" s="2275"/>
      <c r="M113" s="2275"/>
      <c r="N113" s="2275"/>
      <c r="O113" s="2275"/>
      <c r="P113" s="2275"/>
      <c r="Q113" s="2275"/>
    </row>
    <row r="114" spans="2:17" s="751" customFormat="1">
      <c r="B114" s="2275"/>
      <c r="C114" s="2275"/>
      <c r="D114" s="2275"/>
      <c r="E114" s="2275"/>
      <c r="F114" s="2275"/>
      <c r="G114" s="2275"/>
      <c r="H114" s="2275"/>
      <c r="I114" s="2275"/>
      <c r="J114" s="2275"/>
      <c r="K114" s="2275"/>
      <c r="L114" s="2275"/>
      <c r="M114" s="2275"/>
      <c r="N114" s="2275"/>
      <c r="O114" s="2275"/>
      <c r="P114" s="2275"/>
      <c r="Q114" s="2275"/>
    </row>
    <row r="115" spans="2:17" s="751" customFormat="1">
      <c r="B115" s="2275"/>
      <c r="C115" s="2275"/>
      <c r="D115" s="2275"/>
      <c r="E115" s="2275"/>
      <c r="F115" s="2275"/>
      <c r="G115" s="2275"/>
      <c r="H115" s="2275"/>
      <c r="I115" s="2275"/>
      <c r="J115" s="2275"/>
      <c r="K115" s="2275"/>
      <c r="L115" s="2275"/>
      <c r="M115" s="2275"/>
      <c r="N115" s="2275"/>
      <c r="O115" s="2275"/>
      <c r="P115" s="2275"/>
      <c r="Q115" s="2275"/>
    </row>
    <row r="116" spans="2:17" s="751" customFormat="1">
      <c r="B116" s="2275"/>
      <c r="C116" s="2275"/>
      <c r="D116" s="2275"/>
      <c r="E116" s="2275"/>
      <c r="F116" s="2275"/>
      <c r="G116" s="2275"/>
      <c r="H116" s="2275"/>
      <c r="I116" s="2275"/>
      <c r="J116" s="2275"/>
      <c r="K116" s="2275"/>
      <c r="L116" s="2275"/>
      <c r="M116" s="2275"/>
      <c r="N116" s="2275"/>
      <c r="O116" s="2275"/>
      <c r="P116" s="2275"/>
      <c r="Q116" s="2275"/>
    </row>
    <row r="117" spans="2:17" s="751" customFormat="1">
      <c r="B117" s="2275"/>
      <c r="C117" s="2275"/>
      <c r="D117" s="2275"/>
      <c r="E117" s="2275"/>
      <c r="F117" s="2275"/>
      <c r="G117" s="2275"/>
      <c r="H117" s="2275"/>
      <c r="I117" s="2275"/>
      <c r="J117" s="2275"/>
      <c r="K117" s="2275"/>
      <c r="L117" s="2275"/>
      <c r="M117" s="2275"/>
      <c r="N117" s="2275"/>
      <c r="O117" s="2275"/>
      <c r="P117" s="2275"/>
      <c r="Q117" s="2275"/>
    </row>
    <row r="118" spans="2:17" s="751" customFormat="1">
      <c r="B118" s="2275"/>
      <c r="C118" s="2275"/>
      <c r="D118" s="2275"/>
      <c r="E118" s="2275"/>
      <c r="F118" s="2275"/>
      <c r="G118" s="2275"/>
      <c r="H118" s="2275"/>
      <c r="I118" s="2275"/>
      <c r="J118" s="2275"/>
      <c r="K118" s="2275"/>
      <c r="L118" s="2275"/>
      <c r="M118" s="2275"/>
      <c r="N118" s="2275"/>
      <c r="O118" s="2275"/>
      <c r="P118" s="2275"/>
      <c r="Q118" s="2275"/>
    </row>
    <row r="119" spans="2:17" s="751" customFormat="1">
      <c r="B119" s="2275"/>
      <c r="C119" s="2275"/>
      <c r="D119" s="2275"/>
      <c r="E119" s="2275"/>
      <c r="F119" s="2275"/>
      <c r="G119" s="2275"/>
      <c r="H119" s="2275"/>
      <c r="I119" s="2275"/>
      <c r="J119" s="2275"/>
      <c r="K119" s="2275"/>
      <c r="L119" s="2275"/>
      <c r="M119" s="2275"/>
      <c r="N119" s="2275"/>
      <c r="O119" s="2275"/>
      <c r="P119" s="2275"/>
      <c r="Q119" s="2275"/>
    </row>
    <row r="120" spans="2:17" s="751" customFormat="1">
      <c r="B120" s="2275"/>
      <c r="C120" s="2275"/>
      <c r="D120" s="2275"/>
      <c r="E120" s="2275"/>
      <c r="F120" s="2275"/>
      <c r="G120" s="2275"/>
      <c r="H120" s="2275"/>
      <c r="I120" s="2275"/>
      <c r="J120" s="2275"/>
      <c r="K120" s="2275"/>
      <c r="L120" s="2275"/>
      <c r="M120" s="2275"/>
      <c r="N120" s="2275"/>
      <c r="O120" s="2275"/>
      <c r="P120" s="2275"/>
      <c r="Q120" s="2275"/>
    </row>
    <row r="121" spans="2:17" s="751" customFormat="1">
      <c r="B121" s="2275"/>
      <c r="C121" s="2275"/>
      <c r="D121" s="2275"/>
      <c r="E121" s="2275"/>
      <c r="F121" s="2275"/>
      <c r="G121" s="2275"/>
      <c r="H121" s="2275"/>
      <c r="I121" s="2275"/>
      <c r="J121" s="2275"/>
      <c r="K121" s="2275"/>
      <c r="L121" s="2275"/>
      <c r="M121" s="2275"/>
      <c r="N121" s="2275"/>
      <c r="O121" s="2275"/>
      <c r="P121" s="2275"/>
      <c r="Q121" s="2275"/>
    </row>
    <row r="122" spans="2:17" s="751" customFormat="1">
      <c r="B122" s="2275"/>
      <c r="C122" s="2275"/>
      <c r="D122" s="2275"/>
      <c r="E122" s="2275"/>
      <c r="F122" s="2275"/>
      <c r="G122" s="2275"/>
      <c r="H122" s="2275"/>
      <c r="I122" s="2275"/>
      <c r="J122" s="2275"/>
      <c r="K122" s="2275"/>
      <c r="L122" s="2275"/>
      <c r="M122" s="2275"/>
      <c r="N122" s="2275"/>
      <c r="O122" s="2275"/>
      <c r="P122" s="2275"/>
      <c r="Q122" s="2275"/>
    </row>
    <row r="123" spans="2:17" s="751" customFormat="1">
      <c r="B123" s="2275"/>
      <c r="C123" s="2275"/>
      <c r="D123" s="2275"/>
      <c r="E123" s="2275"/>
      <c r="F123" s="2275"/>
      <c r="G123" s="2275"/>
      <c r="H123" s="2275"/>
      <c r="I123" s="2275"/>
      <c r="J123" s="2275"/>
      <c r="K123" s="2275"/>
      <c r="L123" s="2275"/>
      <c r="M123" s="2275"/>
      <c r="N123" s="2275"/>
      <c r="O123" s="2275"/>
      <c r="P123" s="2275"/>
      <c r="Q123" s="2275"/>
    </row>
    <row r="124" spans="2:17" s="751" customFormat="1">
      <c r="B124" s="2275"/>
      <c r="C124" s="2275"/>
      <c r="D124" s="2275"/>
      <c r="E124" s="2275"/>
      <c r="F124" s="2275"/>
      <c r="G124" s="2275"/>
      <c r="H124" s="2275"/>
      <c r="I124" s="2275"/>
      <c r="J124" s="2275"/>
      <c r="K124" s="2275"/>
      <c r="L124" s="2275"/>
      <c r="M124" s="2275"/>
      <c r="N124" s="2275"/>
      <c r="O124" s="2275"/>
      <c r="P124" s="2275"/>
      <c r="Q124" s="2275"/>
    </row>
    <row r="125" spans="2:17" s="751" customFormat="1">
      <c r="B125" s="2275"/>
      <c r="C125" s="2275"/>
      <c r="D125" s="2275"/>
      <c r="E125" s="2275"/>
      <c r="F125" s="2275"/>
      <c r="G125" s="2275"/>
      <c r="H125" s="2275"/>
      <c r="I125" s="2275"/>
      <c r="J125" s="2275"/>
      <c r="K125" s="2275"/>
      <c r="L125" s="2275"/>
      <c r="M125" s="2275"/>
      <c r="N125" s="2275"/>
      <c r="O125" s="2275"/>
      <c r="P125" s="2275"/>
      <c r="Q125" s="2275"/>
    </row>
    <row r="126" spans="2:17" s="751" customFormat="1">
      <c r="B126" s="2275"/>
      <c r="C126" s="2275"/>
      <c r="D126" s="2275"/>
      <c r="E126" s="2275"/>
      <c r="F126" s="2275"/>
      <c r="G126" s="2275"/>
      <c r="H126" s="2275"/>
      <c r="I126" s="2275"/>
      <c r="J126" s="2275"/>
      <c r="K126" s="2275"/>
      <c r="L126" s="2275"/>
      <c r="M126" s="2275"/>
      <c r="N126" s="2275"/>
      <c r="O126" s="2275"/>
      <c r="P126" s="2275"/>
      <c r="Q126" s="2275"/>
    </row>
    <row r="127" spans="2:17" s="751" customFormat="1">
      <c r="B127" s="2275"/>
      <c r="C127" s="2275"/>
      <c r="D127" s="2275"/>
      <c r="E127" s="2275"/>
      <c r="F127" s="2275"/>
      <c r="G127" s="2275"/>
      <c r="H127" s="2275"/>
      <c r="I127" s="2275"/>
      <c r="J127" s="2275"/>
      <c r="K127" s="2275"/>
      <c r="L127" s="2275"/>
      <c r="M127" s="2275"/>
      <c r="N127" s="2275"/>
      <c r="O127" s="2275"/>
      <c r="P127" s="2275"/>
      <c r="Q127" s="2275"/>
    </row>
    <row r="128" spans="2:17" s="751" customFormat="1">
      <c r="B128" s="2275"/>
      <c r="C128" s="2275"/>
      <c r="D128" s="2275"/>
      <c r="E128" s="2275"/>
      <c r="F128" s="2275"/>
      <c r="G128" s="2275"/>
      <c r="H128" s="2275"/>
      <c r="I128" s="2275"/>
      <c r="J128" s="2275"/>
      <c r="K128" s="2275"/>
      <c r="L128" s="2275"/>
      <c r="M128" s="2275"/>
      <c r="N128" s="2275"/>
      <c r="O128" s="2275"/>
      <c r="P128" s="2275"/>
      <c r="Q128" s="2275"/>
    </row>
    <row r="129" spans="2:17" s="751" customFormat="1">
      <c r="B129" s="2275"/>
      <c r="C129" s="2275"/>
      <c r="D129" s="2275"/>
      <c r="E129" s="2275"/>
      <c r="F129" s="2275"/>
      <c r="G129" s="2275"/>
      <c r="H129" s="2275"/>
      <c r="I129" s="2275"/>
      <c r="J129" s="2275"/>
      <c r="K129" s="2275"/>
      <c r="L129" s="2275"/>
      <c r="M129" s="2275"/>
      <c r="N129" s="2275"/>
      <c r="O129" s="2275"/>
      <c r="P129" s="2275"/>
      <c r="Q129" s="2275"/>
    </row>
    <row r="130" spans="2:17" s="751" customFormat="1">
      <c r="B130" s="2275"/>
      <c r="C130" s="2275"/>
      <c r="D130" s="2275"/>
      <c r="E130" s="2275"/>
      <c r="F130" s="2275"/>
      <c r="G130" s="2275"/>
      <c r="H130" s="2275"/>
      <c r="I130" s="2275"/>
      <c r="J130" s="2275"/>
      <c r="K130" s="2275"/>
      <c r="L130" s="2275"/>
      <c r="M130" s="2275"/>
      <c r="N130" s="2275"/>
      <c r="O130" s="2275"/>
      <c r="P130" s="2275"/>
      <c r="Q130" s="2275"/>
    </row>
    <row r="131" spans="2:17" s="751" customFormat="1">
      <c r="B131" s="2275"/>
      <c r="C131" s="2275"/>
      <c r="D131" s="2275"/>
      <c r="E131" s="2275"/>
      <c r="F131" s="2275"/>
      <c r="G131" s="2275"/>
      <c r="H131" s="2275"/>
      <c r="I131" s="2275"/>
      <c r="J131" s="2275"/>
      <c r="K131" s="2275"/>
      <c r="L131" s="2275"/>
      <c r="M131" s="2275"/>
      <c r="N131" s="2275"/>
      <c r="O131" s="2275"/>
      <c r="P131" s="2275"/>
      <c r="Q131" s="2275"/>
    </row>
    <row r="132" spans="2:17" s="751" customFormat="1">
      <c r="B132" s="2275"/>
      <c r="C132" s="2275"/>
      <c r="D132" s="2275"/>
      <c r="E132" s="2275"/>
      <c r="F132" s="2275"/>
      <c r="G132" s="2275"/>
      <c r="H132" s="2275"/>
      <c r="I132" s="2275"/>
      <c r="J132" s="2275"/>
      <c r="K132" s="2275"/>
      <c r="L132" s="2275"/>
      <c r="M132" s="2275"/>
      <c r="N132" s="2275"/>
      <c r="O132" s="2275"/>
      <c r="P132" s="2275"/>
      <c r="Q132" s="2275"/>
    </row>
    <row r="133" spans="2:17" s="751" customFormat="1">
      <c r="B133" s="2275"/>
      <c r="C133" s="2275"/>
      <c r="D133" s="2275"/>
      <c r="E133" s="2275"/>
      <c r="F133" s="2275"/>
      <c r="G133" s="2275"/>
      <c r="H133" s="2275"/>
      <c r="I133" s="2275"/>
      <c r="J133" s="2275"/>
      <c r="K133" s="2275"/>
      <c r="L133" s="2275"/>
      <c r="M133" s="2275"/>
      <c r="N133" s="2275"/>
      <c r="O133" s="2275"/>
      <c r="P133" s="2275"/>
      <c r="Q133" s="2275"/>
    </row>
    <row r="134" spans="2:17" s="751" customFormat="1">
      <c r="B134" s="2275"/>
      <c r="C134" s="2275"/>
      <c r="D134" s="2275"/>
      <c r="E134" s="2275"/>
      <c r="F134" s="2275"/>
      <c r="G134" s="2275"/>
      <c r="H134" s="2275"/>
      <c r="I134" s="2275"/>
      <c r="J134" s="2275"/>
      <c r="K134" s="2275"/>
      <c r="L134" s="2275"/>
      <c r="M134" s="2275"/>
      <c r="N134" s="2275"/>
      <c r="O134" s="2275"/>
      <c r="P134" s="2275"/>
      <c r="Q134" s="2275"/>
    </row>
    <row r="135" spans="2:17" s="751" customFormat="1">
      <c r="B135" s="2275"/>
      <c r="C135" s="2275"/>
      <c r="D135" s="2275"/>
      <c r="E135" s="2275"/>
      <c r="F135" s="2275"/>
      <c r="G135" s="2275"/>
      <c r="H135" s="2275"/>
      <c r="I135" s="2275"/>
      <c r="J135" s="2275"/>
      <c r="K135" s="2275"/>
      <c r="L135" s="2275"/>
      <c r="M135" s="2275"/>
      <c r="N135" s="2275"/>
      <c r="O135" s="2275"/>
      <c r="P135" s="2275"/>
      <c r="Q135" s="2275"/>
    </row>
    <row r="136" spans="2:17" s="751" customFormat="1">
      <c r="B136" s="2275"/>
      <c r="C136" s="2275"/>
      <c r="D136" s="2275"/>
      <c r="E136" s="2275"/>
      <c r="F136" s="2275"/>
      <c r="G136" s="2275"/>
      <c r="H136" s="2275"/>
      <c r="I136" s="2275"/>
      <c r="J136" s="2275"/>
      <c r="K136" s="2275"/>
      <c r="L136" s="2275"/>
      <c r="M136" s="2275"/>
      <c r="N136" s="2275"/>
      <c r="O136" s="2275"/>
      <c r="P136" s="2275"/>
      <c r="Q136" s="2275"/>
    </row>
    <row r="137" spans="2:17" s="751" customFormat="1">
      <c r="B137" s="2275"/>
      <c r="C137" s="2275"/>
      <c r="D137" s="2275"/>
      <c r="E137" s="2275"/>
      <c r="F137" s="2275"/>
      <c r="G137" s="2275"/>
      <c r="H137" s="2275"/>
      <c r="I137" s="2275"/>
      <c r="J137" s="2275"/>
      <c r="K137" s="2275"/>
      <c r="L137" s="2275"/>
      <c r="M137" s="2275"/>
      <c r="N137" s="2275"/>
      <c r="O137" s="2275"/>
      <c r="P137" s="2275"/>
      <c r="Q137" s="2275"/>
    </row>
    <row r="138" spans="2:17" s="751" customFormat="1">
      <c r="B138" s="2275"/>
      <c r="C138" s="2275"/>
      <c r="D138" s="2275"/>
      <c r="E138" s="2275"/>
      <c r="F138" s="2275"/>
      <c r="G138" s="2275"/>
      <c r="H138" s="2275"/>
      <c r="I138" s="2275"/>
      <c r="J138" s="2275"/>
      <c r="K138" s="2275"/>
      <c r="L138" s="2275"/>
      <c r="M138" s="2275"/>
      <c r="N138" s="2275"/>
      <c r="O138" s="2275"/>
      <c r="P138" s="2275"/>
      <c r="Q138" s="2275"/>
    </row>
    <row r="139" spans="2:17" s="751" customFormat="1">
      <c r="B139" s="2275"/>
      <c r="C139" s="2275"/>
      <c r="D139" s="2275"/>
      <c r="E139" s="2275"/>
      <c r="F139" s="2275"/>
      <c r="G139" s="2275"/>
      <c r="H139" s="2275"/>
      <c r="I139" s="2275"/>
      <c r="J139" s="2275"/>
      <c r="K139" s="2275"/>
      <c r="L139" s="2275"/>
      <c r="M139" s="2275"/>
      <c r="N139" s="2275"/>
      <c r="O139" s="2275"/>
      <c r="P139" s="2275"/>
      <c r="Q139" s="2275"/>
    </row>
    <row r="140" spans="2:17" s="751" customFormat="1">
      <c r="B140" s="2275"/>
      <c r="C140" s="2275"/>
      <c r="D140" s="2275"/>
      <c r="E140" s="2275"/>
      <c r="F140" s="2275"/>
      <c r="G140" s="2275"/>
      <c r="H140" s="2275"/>
      <c r="I140" s="2275"/>
      <c r="J140" s="2275"/>
      <c r="K140" s="2275"/>
      <c r="L140" s="2275"/>
      <c r="M140" s="2275"/>
      <c r="N140" s="2275"/>
      <c r="O140" s="2275"/>
      <c r="P140" s="2275"/>
      <c r="Q140" s="2275"/>
    </row>
    <row r="141" spans="2:17" s="751" customFormat="1">
      <c r="B141" s="2275"/>
      <c r="C141" s="2275"/>
      <c r="D141" s="2275"/>
      <c r="E141" s="2275"/>
      <c r="F141" s="2275"/>
      <c r="G141" s="2275"/>
      <c r="H141" s="2275"/>
      <c r="I141" s="2275"/>
      <c r="J141" s="2275"/>
      <c r="K141" s="2275"/>
      <c r="L141" s="2275"/>
      <c r="M141" s="2275"/>
      <c r="N141" s="2275"/>
      <c r="O141" s="2275"/>
      <c r="P141" s="2275"/>
      <c r="Q141" s="2275"/>
    </row>
    <row r="142" spans="2:17" s="751" customFormat="1">
      <c r="B142" s="2275"/>
      <c r="C142" s="2275"/>
      <c r="D142" s="2275"/>
      <c r="E142" s="2275"/>
      <c r="F142" s="2275"/>
      <c r="G142" s="2275"/>
      <c r="H142" s="2275"/>
      <c r="I142" s="2275"/>
      <c r="J142" s="2275"/>
      <c r="K142" s="2275"/>
      <c r="L142" s="2275"/>
      <c r="M142" s="2275"/>
      <c r="N142" s="2275"/>
      <c r="O142" s="2275"/>
      <c r="P142" s="2275"/>
      <c r="Q142" s="2275"/>
    </row>
    <row r="143" spans="2:17" s="751" customFormat="1">
      <c r="B143" s="2275"/>
      <c r="C143" s="2275"/>
      <c r="D143" s="2275"/>
      <c r="E143" s="2275"/>
      <c r="F143" s="2275"/>
      <c r="G143" s="2275"/>
      <c r="H143" s="2275"/>
      <c r="I143" s="2275"/>
      <c r="J143" s="2275"/>
      <c r="K143" s="2275"/>
      <c r="L143" s="2275"/>
      <c r="M143" s="2275"/>
      <c r="N143" s="2275"/>
      <c r="O143" s="2275"/>
      <c r="P143" s="2275"/>
      <c r="Q143" s="2275"/>
    </row>
    <row r="144" spans="2:17" s="751" customFormat="1">
      <c r="B144" s="2275"/>
      <c r="C144" s="2275"/>
      <c r="D144" s="2275"/>
      <c r="E144" s="2275"/>
      <c r="F144" s="2275"/>
      <c r="G144" s="2275"/>
      <c r="H144" s="2275"/>
      <c r="I144" s="2275"/>
      <c r="J144" s="2275"/>
      <c r="K144" s="2275"/>
      <c r="L144" s="2275"/>
      <c r="M144" s="2275"/>
      <c r="N144" s="2275"/>
      <c r="O144" s="2275"/>
      <c r="P144" s="2275"/>
      <c r="Q144" s="2275"/>
    </row>
    <row r="145" spans="2:17" s="751" customFormat="1">
      <c r="B145" s="2275"/>
      <c r="C145" s="2275"/>
      <c r="D145" s="2275"/>
      <c r="E145" s="2275"/>
      <c r="F145" s="2275"/>
      <c r="G145" s="2275"/>
      <c r="H145" s="2275"/>
      <c r="I145" s="2275"/>
      <c r="J145" s="2275"/>
      <c r="K145" s="2275"/>
      <c r="L145" s="2275"/>
      <c r="M145" s="2275"/>
      <c r="N145" s="2275"/>
      <c r="O145" s="2275"/>
      <c r="P145" s="2275"/>
      <c r="Q145" s="2275"/>
    </row>
    <row r="146" spans="2:17" s="751" customFormat="1">
      <c r="B146" s="2275"/>
      <c r="C146" s="2275"/>
      <c r="D146" s="2275"/>
      <c r="E146" s="2275"/>
      <c r="F146" s="2275"/>
      <c r="G146" s="2275"/>
      <c r="H146" s="2275"/>
      <c r="I146" s="2275"/>
      <c r="J146" s="2275"/>
      <c r="K146" s="2275"/>
      <c r="L146" s="2275"/>
      <c r="M146" s="2275"/>
      <c r="N146" s="2275"/>
      <c r="O146" s="2275"/>
      <c r="P146" s="2275"/>
      <c r="Q146" s="2275"/>
    </row>
    <row r="147" spans="2:17" s="751" customFormat="1">
      <c r="B147" s="2275"/>
      <c r="C147" s="2275"/>
      <c r="D147" s="2275"/>
      <c r="E147" s="2275"/>
      <c r="F147" s="2275"/>
      <c r="G147" s="2275"/>
      <c r="H147" s="2275"/>
      <c r="I147" s="2275"/>
      <c r="J147" s="2275"/>
      <c r="K147" s="2275"/>
      <c r="L147" s="2275"/>
      <c r="M147" s="2275"/>
      <c r="N147" s="2275"/>
      <c r="O147" s="2275"/>
      <c r="P147" s="2275"/>
      <c r="Q147" s="2275"/>
    </row>
    <row r="148" spans="2:17" s="751" customFormat="1">
      <c r="B148" s="2275"/>
      <c r="C148" s="2275"/>
      <c r="D148" s="2275"/>
      <c r="E148" s="2275"/>
      <c r="F148" s="2275"/>
      <c r="G148" s="2275"/>
      <c r="H148" s="2275"/>
      <c r="I148" s="2275"/>
      <c r="J148" s="2275"/>
      <c r="K148" s="2275"/>
      <c r="L148" s="2275"/>
      <c r="M148" s="2275"/>
      <c r="N148" s="2275"/>
      <c r="O148" s="2275"/>
      <c r="P148" s="2275"/>
      <c r="Q148" s="2275"/>
    </row>
    <row r="149" spans="2:17" s="751" customFormat="1">
      <c r="B149" s="2275"/>
      <c r="C149" s="2275"/>
      <c r="D149" s="2275"/>
      <c r="E149" s="2275"/>
      <c r="F149" s="2275"/>
      <c r="G149" s="2275"/>
      <c r="H149" s="2275"/>
      <c r="I149" s="2275"/>
      <c r="J149" s="2275"/>
      <c r="K149" s="2275"/>
      <c r="L149" s="2275"/>
      <c r="M149" s="2275"/>
      <c r="N149" s="2275"/>
      <c r="O149" s="2275"/>
      <c r="P149" s="2275"/>
      <c r="Q149" s="2275"/>
    </row>
    <row r="150" spans="2:17" s="751" customFormat="1">
      <c r="B150" s="2275"/>
      <c r="C150" s="2275"/>
      <c r="D150" s="2275"/>
      <c r="E150" s="2275"/>
      <c r="F150" s="2275"/>
      <c r="G150" s="2275"/>
      <c r="H150" s="2275"/>
      <c r="I150" s="2275"/>
      <c r="J150" s="2275"/>
      <c r="K150" s="2275"/>
      <c r="L150" s="2275"/>
      <c r="M150" s="2275"/>
      <c r="N150" s="2275"/>
      <c r="O150" s="2275"/>
      <c r="P150" s="2275"/>
      <c r="Q150" s="2275"/>
    </row>
    <row r="151" spans="2:17" s="751" customFormat="1">
      <c r="B151" s="2275"/>
      <c r="C151" s="2275"/>
      <c r="D151" s="2275"/>
      <c r="E151" s="2275"/>
      <c r="F151" s="2275"/>
      <c r="G151" s="2275"/>
      <c r="H151" s="2275"/>
      <c r="I151" s="2275"/>
      <c r="J151" s="2275"/>
      <c r="K151" s="2275"/>
      <c r="L151" s="2275"/>
      <c r="M151" s="2275"/>
      <c r="N151" s="2275"/>
      <c r="O151" s="2275"/>
      <c r="P151" s="2275"/>
      <c r="Q151" s="2275"/>
    </row>
    <row r="152" spans="2:17" s="751" customFormat="1">
      <c r="B152" s="2275"/>
      <c r="C152" s="2275"/>
      <c r="D152" s="2275"/>
      <c r="E152" s="2275"/>
      <c r="F152" s="2275"/>
      <c r="G152" s="2275"/>
      <c r="H152" s="2275"/>
      <c r="I152" s="2275"/>
      <c r="J152" s="2275"/>
      <c r="K152" s="2275"/>
      <c r="L152" s="2275"/>
      <c r="M152" s="2275"/>
      <c r="N152" s="2275"/>
      <c r="O152" s="2275"/>
      <c r="P152" s="2275"/>
      <c r="Q152" s="2275"/>
    </row>
    <row r="153" spans="2:17" s="751" customFormat="1">
      <c r="B153" s="2275"/>
      <c r="C153" s="2275"/>
      <c r="D153" s="2275"/>
      <c r="E153" s="2275"/>
      <c r="F153" s="2275"/>
      <c r="G153" s="2275"/>
      <c r="H153" s="2275"/>
      <c r="I153" s="2275"/>
      <c r="J153" s="2275"/>
      <c r="K153" s="2275"/>
      <c r="L153" s="2275"/>
      <c r="M153" s="2275"/>
      <c r="N153" s="2275"/>
      <c r="O153" s="2275"/>
      <c r="P153" s="2275"/>
      <c r="Q153" s="2275"/>
    </row>
    <row r="154" spans="2:17" s="751" customFormat="1">
      <c r="B154" s="2275"/>
      <c r="C154" s="2275"/>
      <c r="D154" s="2275"/>
      <c r="E154" s="2275"/>
      <c r="F154" s="2275"/>
      <c r="G154" s="2275"/>
      <c r="H154" s="2275"/>
      <c r="I154" s="2275"/>
      <c r="J154" s="2275"/>
      <c r="K154" s="2275"/>
      <c r="L154" s="2275"/>
      <c r="M154" s="2275"/>
      <c r="N154" s="2275"/>
      <c r="O154" s="2275"/>
      <c r="P154" s="2275"/>
      <c r="Q154" s="2275"/>
    </row>
    <row r="155" spans="2:17" s="751" customFormat="1">
      <c r="B155" s="2275"/>
      <c r="C155" s="2275"/>
      <c r="D155" s="2275"/>
      <c r="E155" s="2275"/>
      <c r="F155" s="2275"/>
      <c r="G155" s="2275"/>
      <c r="H155" s="2275"/>
      <c r="I155" s="2275"/>
      <c r="J155" s="2275"/>
      <c r="K155" s="2275"/>
      <c r="L155" s="2275"/>
      <c r="M155" s="2275"/>
      <c r="N155" s="2275"/>
      <c r="O155" s="2275"/>
      <c r="P155" s="2275"/>
      <c r="Q155" s="2275"/>
    </row>
    <row r="156" spans="2:17" s="751" customFormat="1">
      <c r="B156" s="2275"/>
      <c r="C156" s="2275"/>
      <c r="D156" s="2275"/>
      <c r="E156" s="2275"/>
      <c r="F156" s="2275"/>
      <c r="G156" s="2275"/>
      <c r="H156" s="2275"/>
      <c r="I156" s="2275"/>
      <c r="J156" s="2275"/>
      <c r="K156" s="2275"/>
      <c r="L156" s="2275"/>
      <c r="M156" s="2275"/>
      <c r="N156" s="2275"/>
      <c r="O156" s="2275"/>
      <c r="P156" s="2275"/>
      <c r="Q156" s="2275"/>
    </row>
    <row r="157" spans="2:17" s="751" customFormat="1">
      <c r="B157" s="2275"/>
      <c r="C157" s="2275"/>
      <c r="D157" s="2275"/>
      <c r="E157" s="2275"/>
      <c r="F157" s="2275"/>
      <c r="G157" s="2275"/>
      <c r="H157" s="2275"/>
      <c r="I157" s="2275"/>
      <c r="J157" s="2275"/>
      <c r="K157" s="2275"/>
      <c r="L157" s="2275"/>
      <c r="M157" s="2275"/>
      <c r="N157" s="2275"/>
      <c r="O157" s="2275"/>
      <c r="P157" s="2275"/>
      <c r="Q157" s="2275"/>
    </row>
    <row r="158" spans="2:17" s="751" customFormat="1">
      <c r="B158" s="2275"/>
      <c r="C158" s="2275"/>
      <c r="D158" s="2275"/>
      <c r="E158" s="2275"/>
      <c r="F158" s="2275"/>
      <c r="G158" s="2275"/>
      <c r="H158" s="2275"/>
      <c r="I158" s="2275"/>
      <c r="J158" s="2275"/>
      <c r="K158" s="2275"/>
      <c r="L158" s="2275"/>
      <c r="M158" s="2275"/>
      <c r="N158" s="2275"/>
      <c r="O158" s="2275"/>
      <c r="P158" s="2275"/>
      <c r="Q158" s="2275"/>
    </row>
    <row r="159" spans="2:17" s="751" customFormat="1">
      <c r="B159" s="2275"/>
      <c r="C159" s="2275"/>
      <c r="D159" s="2275"/>
      <c r="E159" s="2275"/>
      <c r="F159" s="2275"/>
      <c r="G159" s="2275"/>
      <c r="H159" s="2275"/>
      <c r="I159" s="2275"/>
      <c r="J159" s="2275"/>
      <c r="K159" s="2275"/>
      <c r="L159" s="2275"/>
      <c r="M159" s="2275"/>
      <c r="N159" s="2275"/>
      <c r="O159" s="2275"/>
      <c r="P159" s="2275"/>
      <c r="Q159" s="2275"/>
    </row>
    <row r="160" spans="2:17" s="751" customFormat="1">
      <c r="B160" s="2275"/>
      <c r="C160" s="2275"/>
      <c r="D160" s="2275"/>
      <c r="E160" s="2275"/>
      <c r="F160" s="2275"/>
      <c r="G160" s="2275"/>
      <c r="H160" s="2275"/>
      <c r="I160" s="2275"/>
      <c r="J160" s="2275"/>
      <c r="K160" s="2275"/>
      <c r="L160" s="2275"/>
      <c r="M160" s="2275"/>
      <c r="N160" s="2275"/>
      <c r="O160" s="2275"/>
      <c r="P160" s="2275"/>
      <c r="Q160" s="2275"/>
    </row>
    <row r="161" spans="2:17" s="751" customFormat="1">
      <c r="B161" s="2275"/>
      <c r="C161" s="2275"/>
      <c r="D161" s="2275"/>
      <c r="E161" s="2275"/>
      <c r="F161" s="2275"/>
      <c r="G161" s="2275"/>
      <c r="H161" s="2275"/>
      <c r="I161" s="2275"/>
      <c r="J161" s="2275"/>
      <c r="K161" s="2275"/>
      <c r="L161" s="2275"/>
      <c r="M161" s="2275"/>
      <c r="N161" s="2275"/>
      <c r="O161" s="2275"/>
      <c r="P161" s="2275"/>
      <c r="Q161" s="2275"/>
    </row>
    <row r="162" spans="2:17" s="751" customFormat="1">
      <c r="B162" s="2275"/>
      <c r="C162" s="2275"/>
      <c r="D162" s="2275"/>
      <c r="E162" s="2275"/>
      <c r="F162" s="2275"/>
      <c r="G162" s="2275"/>
      <c r="H162" s="2275"/>
      <c r="I162" s="2275"/>
      <c r="J162" s="2275"/>
      <c r="K162" s="2275"/>
      <c r="L162" s="2275"/>
      <c r="M162" s="2275"/>
      <c r="N162" s="2275"/>
      <c r="O162" s="2275"/>
      <c r="P162" s="2275"/>
      <c r="Q162" s="2275"/>
    </row>
    <row r="163" spans="2:17" s="751" customFormat="1">
      <c r="B163" s="2275"/>
      <c r="C163" s="2275"/>
      <c r="D163" s="2275"/>
      <c r="E163" s="2275"/>
      <c r="F163" s="2275"/>
      <c r="G163" s="2275"/>
      <c r="H163" s="2275"/>
      <c r="I163" s="2275"/>
      <c r="J163" s="2275"/>
      <c r="K163" s="2275"/>
      <c r="L163" s="2275"/>
      <c r="M163" s="2275"/>
      <c r="N163" s="2275"/>
      <c r="O163" s="2275"/>
      <c r="P163" s="2275"/>
      <c r="Q163" s="2275"/>
    </row>
    <row r="164" spans="2:17" s="751" customFormat="1">
      <c r="B164" s="2275"/>
      <c r="C164" s="2275"/>
      <c r="D164" s="2275"/>
      <c r="E164" s="2275"/>
      <c r="F164" s="2275"/>
      <c r="G164" s="2275"/>
      <c r="H164" s="2275"/>
      <c r="I164" s="2275"/>
      <c r="J164" s="2275"/>
      <c r="K164" s="2275"/>
      <c r="L164" s="2275"/>
      <c r="M164" s="2275"/>
      <c r="N164" s="2275"/>
      <c r="O164" s="2275"/>
      <c r="P164" s="2275"/>
      <c r="Q164" s="2275"/>
    </row>
    <row r="165" spans="2:17" s="751" customFormat="1">
      <c r="B165" s="2275"/>
      <c r="C165" s="2275"/>
      <c r="D165" s="2275"/>
      <c r="E165" s="2275"/>
      <c r="F165" s="2275"/>
      <c r="G165" s="2275"/>
      <c r="H165" s="2275"/>
      <c r="I165" s="2275"/>
      <c r="J165" s="2275"/>
      <c r="K165" s="2275"/>
      <c r="L165" s="2275"/>
      <c r="M165" s="2275"/>
      <c r="N165" s="2275"/>
      <c r="O165" s="2275"/>
      <c r="P165" s="2275"/>
      <c r="Q165" s="2275"/>
    </row>
    <row r="166" spans="2:17" s="751" customFormat="1">
      <c r="B166" s="2275"/>
      <c r="C166" s="2275"/>
      <c r="D166" s="2275"/>
      <c r="E166" s="2275"/>
      <c r="F166" s="2275"/>
      <c r="G166" s="2275"/>
      <c r="H166" s="2275"/>
      <c r="I166" s="2275"/>
      <c r="J166" s="2275"/>
      <c r="K166" s="2275"/>
      <c r="L166" s="2275"/>
      <c r="M166" s="2275"/>
      <c r="N166" s="2275"/>
      <c r="O166" s="2275"/>
      <c r="P166" s="2275"/>
      <c r="Q166" s="2275"/>
    </row>
    <row r="167" spans="2:17" s="751" customFormat="1">
      <c r="B167" s="2275"/>
      <c r="C167" s="2275"/>
      <c r="D167" s="2275"/>
      <c r="E167" s="2275"/>
      <c r="F167" s="2275"/>
      <c r="G167" s="2275"/>
      <c r="H167" s="2275"/>
      <c r="I167" s="2275"/>
      <c r="J167" s="2275"/>
      <c r="K167" s="2275"/>
      <c r="L167" s="2275"/>
      <c r="M167" s="2275"/>
      <c r="N167" s="2275"/>
      <c r="O167" s="2275"/>
      <c r="P167" s="2275"/>
      <c r="Q167" s="2275"/>
    </row>
    <row r="168" spans="2:17" s="751" customFormat="1">
      <c r="B168" s="2275"/>
      <c r="C168" s="2275"/>
      <c r="D168" s="2275"/>
      <c r="E168" s="2275"/>
      <c r="F168" s="2275"/>
      <c r="G168" s="2275"/>
      <c r="H168" s="2275"/>
      <c r="I168" s="2275"/>
      <c r="J168" s="2275"/>
      <c r="K168" s="2275"/>
      <c r="L168" s="2275"/>
      <c r="M168" s="2275"/>
      <c r="N168" s="2275"/>
      <c r="O168" s="2275"/>
      <c r="P168" s="2275"/>
      <c r="Q168" s="2275"/>
    </row>
    <row r="169" spans="2:17" s="751" customFormat="1">
      <c r="B169" s="2275"/>
      <c r="C169" s="2275"/>
      <c r="D169" s="2275"/>
      <c r="E169" s="2275"/>
      <c r="F169" s="2275"/>
      <c r="G169" s="2275"/>
      <c r="H169" s="2275"/>
      <c r="I169" s="2275"/>
      <c r="J169" s="2275"/>
      <c r="K169" s="2275"/>
      <c r="L169" s="2275"/>
      <c r="M169" s="2275"/>
      <c r="N169" s="2275"/>
      <c r="O169" s="2275"/>
      <c r="P169" s="2275"/>
      <c r="Q169" s="2275"/>
    </row>
    <row r="170" spans="2:17" s="751" customFormat="1">
      <c r="B170" s="2275"/>
      <c r="C170" s="2275"/>
      <c r="D170" s="2275"/>
      <c r="E170" s="2275"/>
      <c r="F170" s="2275"/>
      <c r="G170" s="2275"/>
      <c r="H170" s="2275"/>
      <c r="I170" s="2275"/>
      <c r="J170" s="2275"/>
      <c r="K170" s="2275"/>
      <c r="L170" s="2275"/>
      <c r="M170" s="2275"/>
      <c r="N170" s="2275"/>
      <c r="O170" s="2275"/>
      <c r="P170" s="2275"/>
      <c r="Q170" s="2275"/>
    </row>
    <row r="171" spans="2:17" s="751" customFormat="1">
      <c r="B171" s="2275"/>
      <c r="C171" s="2275"/>
      <c r="D171" s="2275"/>
      <c r="E171" s="2275"/>
      <c r="F171" s="2275"/>
      <c r="G171" s="2275"/>
      <c r="H171" s="2275"/>
      <c r="I171" s="2275"/>
      <c r="J171" s="2275"/>
      <c r="K171" s="2275"/>
      <c r="L171" s="2275"/>
      <c r="M171" s="2275"/>
      <c r="N171" s="2275"/>
      <c r="O171" s="2275"/>
      <c r="P171" s="2275"/>
      <c r="Q171" s="2275"/>
    </row>
    <row r="172" spans="2:17" s="751" customFormat="1">
      <c r="B172" s="2275"/>
      <c r="C172" s="2275"/>
      <c r="D172" s="2275"/>
      <c r="E172" s="2275"/>
      <c r="F172" s="2275"/>
      <c r="G172" s="2275"/>
      <c r="H172" s="2275"/>
      <c r="I172" s="2275"/>
      <c r="J172" s="2275"/>
      <c r="K172" s="2275"/>
      <c r="L172" s="2275"/>
      <c r="M172" s="2275"/>
      <c r="N172" s="2275"/>
      <c r="O172" s="2275"/>
      <c r="P172" s="2275"/>
      <c r="Q172" s="2275"/>
    </row>
    <row r="173" spans="2:17" s="751" customFormat="1">
      <c r="B173" s="2275"/>
      <c r="C173" s="2275"/>
      <c r="D173" s="2275"/>
      <c r="E173" s="2275"/>
      <c r="F173" s="2275"/>
      <c r="G173" s="2275"/>
      <c r="H173" s="2275"/>
      <c r="I173" s="2275"/>
      <c r="J173" s="2275"/>
      <c r="K173" s="2275"/>
      <c r="L173" s="2275"/>
      <c r="M173" s="2275"/>
      <c r="N173" s="2275"/>
      <c r="O173" s="2275"/>
      <c r="P173" s="2275"/>
      <c r="Q173" s="2275"/>
    </row>
    <row r="174" spans="2:17" s="751" customFormat="1">
      <c r="B174" s="2275"/>
      <c r="C174" s="2275"/>
      <c r="D174" s="2275"/>
      <c r="E174" s="2275"/>
      <c r="F174" s="2275"/>
      <c r="G174" s="2275"/>
      <c r="H174" s="2275"/>
      <c r="I174" s="2275"/>
      <c r="J174" s="2275"/>
      <c r="K174" s="2275"/>
      <c r="L174" s="2275"/>
      <c r="M174" s="2275"/>
      <c r="N174" s="2275"/>
      <c r="O174" s="2275"/>
      <c r="P174" s="2275"/>
      <c r="Q174" s="2275"/>
    </row>
    <row r="175" spans="2:17" s="751" customFormat="1">
      <c r="B175" s="2275"/>
      <c r="C175" s="2275"/>
      <c r="D175" s="2275"/>
      <c r="E175" s="2275"/>
      <c r="F175" s="2275"/>
      <c r="G175" s="2275"/>
      <c r="H175" s="2275"/>
      <c r="I175" s="2275"/>
      <c r="J175" s="2275"/>
      <c r="K175" s="2275"/>
      <c r="L175" s="2275"/>
      <c r="M175" s="2275"/>
      <c r="N175" s="2275"/>
      <c r="O175" s="2275"/>
      <c r="P175" s="2275"/>
      <c r="Q175" s="2275"/>
    </row>
    <row r="176" spans="2:17" s="751" customFormat="1">
      <c r="B176" s="2275"/>
      <c r="C176" s="2275"/>
      <c r="D176" s="2275"/>
      <c r="E176" s="2275"/>
      <c r="F176" s="2275"/>
      <c r="G176" s="2275"/>
      <c r="H176" s="2275"/>
      <c r="I176" s="2275"/>
      <c r="J176" s="2275"/>
      <c r="K176" s="2275"/>
      <c r="L176" s="2275"/>
      <c r="M176" s="2275"/>
      <c r="N176" s="2275"/>
      <c r="O176" s="2275"/>
      <c r="P176" s="2275"/>
      <c r="Q176" s="2275"/>
    </row>
    <row r="177" spans="1:17" s="751" customFormat="1">
      <c r="B177" s="2275"/>
      <c r="C177" s="2275"/>
      <c r="D177" s="2275"/>
      <c r="E177" s="2275"/>
      <c r="F177" s="2275"/>
      <c r="G177" s="2275"/>
      <c r="H177" s="2275"/>
      <c r="I177" s="2275"/>
      <c r="J177" s="2275"/>
      <c r="K177" s="2275"/>
      <c r="L177" s="2275"/>
      <c r="M177" s="2275"/>
      <c r="N177" s="2275"/>
      <c r="O177" s="2275"/>
      <c r="P177" s="2275"/>
      <c r="Q177" s="2275"/>
    </row>
    <row r="178" spans="1:17" s="751" customFormat="1">
      <c r="B178" s="2275"/>
      <c r="C178" s="2275"/>
      <c r="D178" s="2275"/>
      <c r="E178" s="2275"/>
      <c r="F178" s="2275"/>
      <c r="G178" s="2275"/>
      <c r="H178" s="2275"/>
      <c r="I178" s="2275"/>
      <c r="J178" s="2275"/>
      <c r="K178" s="2275"/>
      <c r="L178" s="2275"/>
      <c r="M178" s="2275"/>
      <c r="N178" s="2275"/>
      <c r="O178" s="2275"/>
      <c r="P178" s="2275"/>
      <c r="Q178" s="2275"/>
    </row>
    <row r="179" spans="1:17" s="751" customFormat="1">
      <c r="B179" s="2275"/>
      <c r="C179" s="2275"/>
      <c r="D179" s="2275"/>
      <c r="E179" s="2275"/>
      <c r="F179" s="2275"/>
      <c r="G179" s="2275"/>
      <c r="H179" s="2275"/>
      <c r="I179" s="2275"/>
      <c r="J179" s="2275"/>
      <c r="K179" s="2275"/>
      <c r="L179" s="2275"/>
      <c r="M179" s="2275"/>
      <c r="N179" s="2275"/>
      <c r="O179" s="2275"/>
      <c r="P179" s="2275"/>
      <c r="Q179" s="2275"/>
    </row>
    <row r="180" spans="1:17" s="751" customFormat="1">
      <c r="B180" s="2275"/>
      <c r="C180" s="2275"/>
      <c r="D180" s="2275"/>
      <c r="E180" s="2275"/>
      <c r="F180" s="2275"/>
      <c r="G180" s="2275"/>
      <c r="H180" s="2275"/>
      <c r="I180" s="2275"/>
      <c r="J180" s="2275"/>
      <c r="K180" s="2275"/>
      <c r="L180" s="2275"/>
      <c r="M180" s="2275"/>
      <c r="N180" s="2275"/>
      <c r="O180" s="2275"/>
      <c r="P180" s="2275"/>
      <c r="Q180" s="2275"/>
    </row>
    <row r="181" spans="1:17" s="751" customFormat="1">
      <c r="B181" s="2275"/>
      <c r="C181" s="2275"/>
      <c r="D181" s="2275"/>
      <c r="E181" s="2275"/>
      <c r="F181" s="2275"/>
      <c r="G181" s="2275"/>
      <c r="H181" s="2275"/>
      <c r="I181" s="2275"/>
      <c r="J181" s="2275"/>
      <c r="K181" s="2275"/>
      <c r="L181" s="2275"/>
      <c r="M181" s="2275"/>
      <c r="N181" s="2275"/>
      <c r="O181" s="2275"/>
      <c r="P181" s="2275"/>
      <c r="Q181" s="2275"/>
    </row>
    <row r="182" spans="1:17" s="751" customFormat="1">
      <c r="B182" s="2275"/>
      <c r="C182" s="2275"/>
      <c r="D182" s="2275"/>
      <c r="E182" s="2275"/>
      <c r="F182" s="2275"/>
      <c r="G182" s="2275"/>
      <c r="H182" s="2275"/>
      <c r="I182" s="2275"/>
      <c r="J182" s="2275"/>
      <c r="K182" s="2275"/>
      <c r="L182" s="2275"/>
      <c r="M182" s="2275"/>
      <c r="N182" s="2275"/>
      <c r="O182" s="2275"/>
      <c r="P182" s="2275"/>
      <c r="Q182" s="2275"/>
    </row>
    <row r="183" spans="1:17" s="751" customFormat="1">
      <c r="B183" s="2275"/>
      <c r="C183" s="2275"/>
      <c r="D183" s="2275"/>
      <c r="E183" s="2275"/>
      <c r="F183" s="2275"/>
      <c r="G183" s="2275"/>
      <c r="H183" s="2275"/>
      <c r="I183" s="2275"/>
      <c r="J183" s="2275"/>
      <c r="K183" s="2275"/>
      <c r="L183" s="2275"/>
      <c r="M183" s="2275"/>
      <c r="N183" s="2275"/>
      <c r="O183" s="2275"/>
      <c r="P183" s="2275"/>
      <c r="Q183" s="2275"/>
    </row>
    <row r="184" spans="1:17" s="751" customFormat="1">
      <c r="B184" s="2275"/>
      <c r="C184" s="2275"/>
      <c r="D184" s="2275"/>
      <c r="E184" s="2275"/>
      <c r="F184" s="2275"/>
      <c r="G184" s="2275"/>
      <c r="H184" s="2275"/>
      <c r="I184" s="2275"/>
      <c r="J184" s="2275"/>
      <c r="K184" s="2275"/>
      <c r="L184" s="2275"/>
      <c r="M184" s="2275"/>
      <c r="N184" s="2275"/>
      <c r="O184" s="2275"/>
      <c r="P184" s="2275"/>
      <c r="Q184" s="2275"/>
    </row>
    <row r="185" spans="1:17" s="751" customFormat="1">
      <c r="B185" s="2275"/>
      <c r="C185" s="2275"/>
      <c r="D185" s="2275"/>
      <c r="E185" s="2275"/>
      <c r="F185" s="2275"/>
      <c r="G185" s="2275"/>
      <c r="H185" s="2275"/>
      <c r="I185" s="2275"/>
      <c r="J185" s="2275"/>
      <c r="K185" s="2275"/>
      <c r="L185" s="2275"/>
      <c r="M185" s="2275"/>
      <c r="N185" s="2275"/>
      <c r="O185" s="2275"/>
      <c r="P185" s="2275"/>
      <c r="Q185" s="2275"/>
    </row>
    <row r="186" spans="1:17">
      <c r="A186" s="751"/>
      <c r="B186" s="2275"/>
      <c r="C186" s="2275"/>
      <c r="E186" s="2275"/>
      <c r="F186" s="2275"/>
      <c r="G186" s="2275"/>
    </row>
    <row r="187" spans="1:17">
      <c r="A187" s="751"/>
      <c r="B187" s="2275"/>
      <c r="C187" s="2275"/>
      <c r="E187" s="2275"/>
      <c r="F187" s="2275"/>
      <c r="G187" s="227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299" customWidth="1"/>
    <col min="2" max="9" width="15.75" style="2299" customWidth="1"/>
    <col min="10" max="16384" width="9" style="2299"/>
  </cols>
  <sheetData>
    <row r="1" spans="1:11" ht="16.5">
      <c r="A1" s="2298" t="s">
        <v>665</v>
      </c>
      <c r="B1" s="2298">
        <f>SUM(B14:B23)</f>
        <v>32.74</v>
      </c>
      <c r="C1" s="2460"/>
      <c r="D1" s="2460"/>
      <c r="E1" s="2460"/>
      <c r="F1" s="2460"/>
      <c r="G1" s="2461"/>
      <c r="H1" s="2461"/>
      <c r="I1" s="2461"/>
      <c r="J1" s="2461"/>
      <c r="K1" s="2461"/>
    </row>
    <row r="2" spans="1:11" ht="16.5">
      <c r="A2" s="2298" t="s">
        <v>653</v>
      </c>
      <c r="B2" s="2298">
        <f>SUM(C14:C23)</f>
        <v>0</v>
      </c>
      <c r="C2" s="2460"/>
      <c r="D2" s="2460"/>
      <c r="E2" s="2460"/>
      <c r="F2" s="2460"/>
      <c r="G2" s="2461"/>
      <c r="H2" s="2461"/>
      <c r="I2" s="2461"/>
      <c r="J2" s="2461"/>
      <c r="K2" s="2461"/>
    </row>
    <row r="3" spans="1:11" ht="16.5">
      <c r="A3" s="2298" t="s">
        <v>662</v>
      </c>
      <c r="B3" s="2300">
        <f>项目基本情况!D3</f>
        <v>46015</v>
      </c>
      <c r="C3" s="2460"/>
      <c r="D3" s="2460"/>
      <c r="E3" s="2460"/>
      <c r="F3" s="2460"/>
      <c r="G3" s="2461"/>
      <c r="H3" s="2461"/>
      <c r="I3" s="2461"/>
      <c r="J3" s="2461"/>
      <c r="K3" s="2461"/>
    </row>
    <row r="4" spans="1:11" ht="33">
      <c r="A4" s="2298" t="s">
        <v>661</v>
      </c>
      <c r="B4" s="2298" t="s">
        <v>660</v>
      </c>
      <c r="C4" s="2298" t="s">
        <v>659</v>
      </c>
      <c r="D4" s="2298" t="s">
        <v>658</v>
      </c>
      <c r="E4" s="2460"/>
      <c r="F4" s="2461"/>
      <c r="G4" s="2461"/>
      <c r="H4" s="2461"/>
      <c r="I4" s="2461"/>
      <c r="J4" s="2461"/>
      <c r="K4" s="2461"/>
    </row>
    <row r="5" spans="1:11" ht="16.5">
      <c r="A5" s="2298" t="s">
        <v>657</v>
      </c>
      <c r="B5" s="2298">
        <f ca="1">SUM(D14:D23)</f>
        <v>116.6952</v>
      </c>
      <c r="C5" s="2298">
        <f ca="1">IF(B5=D14,结果表!H102,ROUND(B5*10000/$B$1,0))</f>
        <v>0</v>
      </c>
      <c r="D5" s="2298" t="e">
        <f ca="1">ROUND(B5*10000/$B$2,0)</f>
        <v>#DIV/0!</v>
      </c>
      <c r="E5" s="2460"/>
      <c r="F5" s="2461"/>
      <c r="G5" s="2461"/>
      <c r="H5" s="2461"/>
      <c r="I5" s="2461"/>
      <c r="J5" s="2461"/>
      <c r="K5" s="2461"/>
    </row>
    <row r="6" spans="1:11" ht="16.5">
      <c r="A6" s="2298" t="s">
        <v>656</v>
      </c>
      <c r="B6" s="2298">
        <f>SUM(G14:G23)</f>
        <v>0</v>
      </c>
      <c r="C6" s="2298">
        <f ca="1">IF(B6=G14,结果表!H108,ROUND(B6*10000/$B$1,0))</f>
        <v>0</v>
      </c>
      <c r="D6" s="2298" t="e">
        <f>ROUND(B6*10000/$B$2,0)</f>
        <v>#DIV/0!</v>
      </c>
      <c r="E6" s="2460"/>
      <c r="F6" s="2461"/>
      <c r="G6" s="2461"/>
      <c r="H6" s="2461"/>
      <c r="I6" s="2461"/>
      <c r="J6" s="2461"/>
      <c r="K6" s="2461"/>
    </row>
    <row r="7" spans="1:11" ht="16.5">
      <c r="A7" s="2298" t="s">
        <v>664</v>
      </c>
      <c r="B7" s="2298">
        <f>SUM(H14:H23)</f>
        <v>0</v>
      </c>
      <c r="C7" s="2298" t="str">
        <f>IF(B7=H14,结果表!H110,ROUND(B7*10000/$B$1,0))</f>
        <v>——</v>
      </c>
      <c r="D7" s="2298" t="e">
        <f>ROUND(B7*10000/$B$2,0)</f>
        <v>#DIV/0!</v>
      </c>
      <c r="E7" s="2460"/>
      <c r="F7" s="2461"/>
      <c r="G7" s="2461"/>
      <c r="H7" s="2461"/>
      <c r="I7" s="2461"/>
      <c r="J7" s="2461"/>
      <c r="K7" s="2461"/>
    </row>
    <row r="8" spans="1:11" ht="16.5">
      <c r="A8" s="2298" t="s">
        <v>587</v>
      </c>
      <c r="B8" s="2298">
        <f>SUM(I14:I23)</f>
        <v>0</v>
      </c>
      <c r="C8" s="2298" t="str">
        <f>IF(B8=I14,结果表!H112,ROUND(B8*10000/$B$1,0))</f>
        <v>——</v>
      </c>
      <c r="D8" s="2298" t="e">
        <f>ROUND(B8*10000/$B$2,0)</f>
        <v>#DIV/0!</v>
      </c>
      <c r="E8" s="2460"/>
      <c r="F8" s="2461"/>
      <c r="G8" s="2461"/>
      <c r="H8" s="2461"/>
      <c r="I8" s="2461"/>
      <c r="J8" s="2461"/>
      <c r="K8" s="2461"/>
    </row>
    <row r="9" spans="1:11" ht="16.5">
      <c r="A9" s="2298" t="s">
        <v>655</v>
      </c>
      <c r="B9" s="1244"/>
      <c r="C9" s="2460"/>
      <c r="D9" s="2460"/>
      <c r="E9" s="2460"/>
      <c r="F9" s="2461"/>
      <c r="G9" s="2461"/>
      <c r="H9" s="2461"/>
      <c r="I9" s="2461"/>
      <c r="J9" s="2461"/>
      <c r="K9" s="2461"/>
    </row>
    <row r="10" spans="1:11" ht="16.5">
      <c r="A10" s="2298" t="s">
        <v>654</v>
      </c>
      <c r="B10" s="2298">
        <f>IF(E10="",0,ROUND(B1*(E10*365/G10)/10000,0))</f>
        <v>0</v>
      </c>
      <c r="C10" s="2298" t="s">
        <v>3354</v>
      </c>
      <c r="D10" s="2298" t="s">
        <v>3355</v>
      </c>
      <c r="E10" s="3135"/>
      <c r="F10" s="3139" t="s">
        <v>3356</v>
      </c>
      <c r="G10" s="3136"/>
      <c r="H10" s="2461"/>
      <c r="I10" s="2461"/>
      <c r="J10" s="2461"/>
      <c r="K10" s="2461"/>
    </row>
    <row r="11" spans="1:11" ht="16.5">
      <c r="A11" s="2298"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1" t="s">
        <v>669</v>
      </c>
      <c r="B13" s="2302" t="s">
        <v>666</v>
      </c>
      <c r="C13" s="2302" t="s">
        <v>668</v>
      </c>
      <c r="D13" s="2302" t="s">
        <v>667</v>
      </c>
      <c r="E13" s="2298" t="s">
        <v>659</v>
      </c>
      <c r="F13" s="2298" t="s">
        <v>658</v>
      </c>
      <c r="G13" s="2302" t="s">
        <v>652</v>
      </c>
      <c r="H13" s="2302" t="s">
        <v>663</v>
      </c>
      <c r="I13" s="2302" t="s">
        <v>651</v>
      </c>
      <c r="J13" s="2461"/>
      <c r="K13" s="2461"/>
    </row>
    <row r="14" spans="1:11" ht="16.5">
      <c r="A14" s="2303" t="s">
        <v>650</v>
      </c>
      <c r="B14" s="2304">
        <f>'数据-汇总表'!F19</f>
        <v>32.74</v>
      </c>
      <c r="C14" s="2304"/>
      <c r="D14" s="2304">
        <f ca="1">ROUND(E14*B14/10000,4)</f>
        <v>116.6952</v>
      </c>
      <c r="E14" s="2304">
        <f ca="1">结果表!G20</f>
        <v>35643</v>
      </c>
      <c r="F14" s="2304" t="e">
        <f ca="1">ROUND(D14*10000/C14,0)</f>
        <v>#DIV/0!</v>
      </c>
      <c r="G14" s="2304"/>
      <c r="H14" s="2304"/>
      <c r="I14" s="2304"/>
      <c r="J14" s="2461"/>
      <c r="K14" s="2461"/>
    </row>
    <row r="15" spans="1:11" ht="16.5">
      <c r="A15" s="2303" t="s">
        <v>649</v>
      </c>
      <c r="B15" s="2305"/>
      <c r="C15" s="2305"/>
      <c r="D15" s="2305"/>
      <c r="E15" s="2304" t="e">
        <f t="shared" ref="E15:E23" si="0">ROUND(D15*10000/B15,0)</f>
        <v>#DIV/0!</v>
      </c>
      <c r="F15" s="2304" t="e">
        <f t="shared" ref="F15:F23" si="1">ROUND(D15*10000/C15,0)</f>
        <v>#DIV/0!</v>
      </c>
      <c r="G15" s="1244"/>
      <c r="H15" s="1244"/>
      <c r="I15" s="2305"/>
      <c r="J15" s="2461"/>
      <c r="K15" s="2461"/>
    </row>
    <row r="16" spans="1:11" ht="16.5">
      <c r="A16" s="2303" t="s">
        <v>648</v>
      </c>
      <c r="B16" s="2305"/>
      <c r="C16" s="2305"/>
      <c r="D16" s="2305"/>
      <c r="E16" s="2304" t="e">
        <f t="shared" si="0"/>
        <v>#DIV/0!</v>
      </c>
      <c r="F16" s="2304" t="e">
        <f t="shared" si="1"/>
        <v>#DIV/0!</v>
      </c>
      <c r="G16" s="1244"/>
      <c r="H16" s="1244"/>
      <c r="I16" s="2305"/>
      <c r="J16" s="2461"/>
      <c r="K16" s="2461"/>
    </row>
    <row r="17" spans="1:11" ht="16.5">
      <c r="A17" s="2303" t="s">
        <v>647</v>
      </c>
      <c r="B17" s="2305"/>
      <c r="C17" s="2305"/>
      <c r="D17" s="2305"/>
      <c r="E17" s="2304" t="e">
        <f t="shared" si="0"/>
        <v>#DIV/0!</v>
      </c>
      <c r="F17" s="2304" t="e">
        <f t="shared" si="1"/>
        <v>#DIV/0!</v>
      </c>
      <c r="G17" s="1244"/>
      <c r="H17" s="1244"/>
      <c r="I17" s="2305"/>
      <c r="J17" s="2461"/>
      <c r="K17" s="2461"/>
    </row>
    <row r="18" spans="1:11" ht="16.5">
      <c r="A18" s="2303" t="s">
        <v>646</v>
      </c>
      <c r="B18" s="2305"/>
      <c r="C18" s="2305"/>
      <c r="D18" s="2305"/>
      <c r="E18" s="2304" t="e">
        <f t="shared" si="0"/>
        <v>#DIV/0!</v>
      </c>
      <c r="F18" s="2304" t="e">
        <f t="shared" si="1"/>
        <v>#DIV/0!</v>
      </c>
      <c r="G18" s="2305"/>
      <c r="H18" s="2305"/>
      <c r="I18" s="2305"/>
      <c r="J18" s="2461"/>
      <c r="K18" s="2461"/>
    </row>
    <row r="19" spans="1:11" ht="16.5">
      <c r="A19" s="2303" t="s">
        <v>645</v>
      </c>
      <c r="B19" s="2305"/>
      <c r="C19" s="2305"/>
      <c r="D19" s="2305"/>
      <c r="E19" s="2304" t="e">
        <f t="shared" si="0"/>
        <v>#DIV/0!</v>
      </c>
      <c r="F19" s="2304" t="e">
        <f t="shared" si="1"/>
        <v>#DIV/0!</v>
      </c>
      <c r="G19" s="2305"/>
      <c r="H19" s="2305"/>
      <c r="I19" s="2305"/>
      <c r="J19" s="2461"/>
      <c r="K19" s="2461"/>
    </row>
    <row r="20" spans="1:11" ht="16.5">
      <c r="A20" s="2303" t="s">
        <v>644</v>
      </c>
      <c r="B20" s="2305"/>
      <c r="C20" s="2305"/>
      <c r="D20" s="2305"/>
      <c r="E20" s="2304" t="e">
        <f t="shared" si="0"/>
        <v>#DIV/0!</v>
      </c>
      <c r="F20" s="2304" t="e">
        <f t="shared" si="1"/>
        <v>#DIV/0!</v>
      </c>
      <c r="G20" s="2305"/>
      <c r="H20" s="2305"/>
      <c r="I20" s="2305"/>
      <c r="J20" s="2461"/>
      <c r="K20" s="2461"/>
    </row>
    <row r="21" spans="1:11" ht="16.5">
      <c r="A21" s="2303" t="s">
        <v>643</v>
      </c>
      <c r="B21" s="2305"/>
      <c r="C21" s="2305"/>
      <c r="D21" s="2305"/>
      <c r="E21" s="2304" t="e">
        <f t="shared" si="0"/>
        <v>#DIV/0!</v>
      </c>
      <c r="F21" s="2304" t="e">
        <f t="shared" si="1"/>
        <v>#DIV/0!</v>
      </c>
      <c r="G21" s="2305"/>
      <c r="H21" s="2305"/>
      <c r="I21" s="2305"/>
      <c r="J21" s="2461"/>
      <c r="K21" s="2461"/>
    </row>
    <row r="22" spans="1:11" ht="16.5">
      <c r="A22" s="2303" t="s">
        <v>642</v>
      </c>
      <c r="B22" s="2305"/>
      <c r="C22" s="2305"/>
      <c r="D22" s="2305"/>
      <c r="E22" s="2304" t="e">
        <f t="shared" si="0"/>
        <v>#DIV/0!</v>
      </c>
      <c r="F22" s="2304" t="e">
        <f t="shared" si="1"/>
        <v>#DIV/0!</v>
      </c>
      <c r="G22" s="2305"/>
      <c r="H22" s="2305"/>
      <c r="I22" s="2305"/>
      <c r="J22" s="2461"/>
      <c r="K22" s="2461"/>
    </row>
    <row r="23" spans="1:11" ht="16.5">
      <c r="A23" s="2303" t="s">
        <v>641</v>
      </c>
      <c r="B23" s="2305"/>
      <c r="C23" s="2305"/>
      <c r="D23" s="2305"/>
      <c r="E23" s="1244" t="e">
        <f t="shared" si="0"/>
        <v>#DIV/0!</v>
      </c>
      <c r="F23" s="1244" t="e">
        <f t="shared" si="1"/>
        <v>#DIV/0!</v>
      </c>
      <c r="G23" s="2305"/>
      <c r="H23" s="2305"/>
      <c r="I23" s="2305"/>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zoomScaleNormal="100" zoomScaleSheetLayoutView="100" zoomScalePageLayoutView="80" workbookViewId="0">
      <selection activeCell="K48" sqref="K48:L48"/>
    </sheetView>
  </sheetViews>
  <sheetFormatPr defaultColWidth="12.625" defaultRowHeight="21.75" customHeight="1"/>
  <cols>
    <col min="1" max="2" width="12.625" style="1561"/>
    <col min="3" max="4" width="12.625" style="1561" customWidth="1"/>
    <col min="5" max="9" width="12.625" style="1561"/>
    <col min="10" max="11" width="12.625" style="684" customWidth="1"/>
    <col min="12" max="12" width="12.625" style="684"/>
    <col min="13" max="13" width="14.125" style="684" bestFit="1" customWidth="1"/>
    <col min="14" max="26" width="12.625" style="684"/>
    <col min="27" max="35" width="12.625" style="1623"/>
    <col min="36" max="16384" width="12.625" style="1561"/>
  </cols>
  <sheetData>
    <row r="1" spans="1:12" ht="21.75" customHeight="1" thickBot="1">
      <c r="A1" s="1521" t="s">
        <v>1262</v>
      </c>
      <c r="B1" s="646"/>
      <c r="C1" s="1620"/>
      <c r="D1" s="646"/>
      <c r="E1" s="646"/>
      <c r="F1" s="1621" t="s">
        <v>1263</v>
      </c>
      <c r="G1" s="1453"/>
      <c r="H1" s="1621" t="str">
        <f>IF(G1="现房","——","估价对象范围")</f>
        <v>估价对象范围</v>
      </c>
      <c r="I1" s="1622"/>
    </row>
    <row r="2" spans="1:12" ht="21.75" customHeight="1" thickBot="1">
      <c r="A2" s="3337" t="str">
        <f>项目基本情况!S2</f>
        <v>北京市房地产</v>
      </c>
      <c r="B2" s="3338"/>
      <c r="C2" s="3338"/>
      <c r="D2" s="3338"/>
      <c r="E2" s="3338"/>
      <c r="F2" s="3338"/>
      <c r="G2" s="3338"/>
      <c r="H2" s="3338"/>
      <c r="I2" s="3339"/>
    </row>
    <row r="3" spans="1:12" ht="12.75">
      <c r="A3" s="3341" t="s">
        <v>1264</v>
      </c>
      <c r="B3" s="3342"/>
      <c r="C3" s="3342"/>
      <c r="D3" s="3342"/>
      <c r="E3" s="3342"/>
      <c r="F3" s="3342"/>
      <c r="G3" s="3342"/>
      <c r="H3" s="3342"/>
      <c r="I3" s="3342"/>
    </row>
    <row r="4" spans="1:12" ht="14.25">
      <c r="A4" s="1624" t="s">
        <v>1265</v>
      </c>
      <c r="B4" s="1625" t="s">
        <v>1266</v>
      </c>
      <c r="C4" s="1626" t="s">
        <v>3487</v>
      </c>
      <c r="D4" s="1626" t="s">
        <v>3473</v>
      </c>
      <c r="E4" s="3346" t="s">
        <v>1267</v>
      </c>
      <c r="F4" s="3347"/>
      <c r="G4" s="3347"/>
      <c r="H4" s="3347"/>
      <c r="I4" s="3348"/>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5" t="s">
        <v>1268</v>
      </c>
      <c r="B5" s="3340">
        <v>25</v>
      </c>
      <c r="C5" s="3343"/>
      <c r="D5" s="3331"/>
      <c r="E5" s="123" t="s">
        <v>1269</v>
      </c>
      <c r="F5" s="1627"/>
      <c r="G5" s="1627"/>
      <c r="H5" s="1627"/>
      <c r="I5" s="1281"/>
    </row>
    <row r="6" spans="1:12" ht="12.75">
      <c r="A6" s="3285"/>
      <c r="B6" s="3340"/>
      <c r="C6" s="3345"/>
      <c r="D6" s="3331"/>
      <c r="E6" s="123" t="s">
        <v>1270</v>
      </c>
      <c r="F6" s="1627"/>
      <c r="G6" s="1627"/>
      <c r="H6" s="1627"/>
      <c r="I6" s="1281"/>
    </row>
    <row r="7" spans="1:12" ht="12.75">
      <c r="A7" s="3285"/>
      <c r="B7" s="3340"/>
      <c r="C7" s="3344"/>
      <c r="D7" s="3331"/>
      <c r="E7" s="123" t="s">
        <v>1271</v>
      </c>
      <c r="F7" s="1627"/>
      <c r="G7" s="1627"/>
      <c r="H7" s="1627"/>
      <c r="I7" s="1281"/>
    </row>
    <row r="8" spans="1:12" ht="12.75">
      <c r="A8" s="3285" t="s">
        <v>1272</v>
      </c>
      <c r="B8" s="3340">
        <v>15</v>
      </c>
      <c r="C8" s="3343"/>
      <c r="D8" s="3331"/>
      <c r="E8" s="123" t="s">
        <v>1273</v>
      </c>
      <c r="F8" s="1627"/>
      <c r="G8" s="1627"/>
      <c r="H8" s="1627"/>
      <c r="I8" s="1281"/>
    </row>
    <row r="9" spans="1:12" ht="12.75">
      <c r="A9" s="3285"/>
      <c r="B9" s="3340"/>
      <c r="C9" s="3344"/>
      <c r="D9" s="3331"/>
      <c r="E9" s="123" t="s">
        <v>1274</v>
      </c>
      <c r="F9" s="1627"/>
      <c r="G9" s="1627"/>
      <c r="H9" s="1627"/>
      <c r="I9" s="1281"/>
    </row>
    <row r="10" spans="1:12" ht="12.75">
      <c r="A10" s="3285" t="s">
        <v>1275</v>
      </c>
      <c r="B10" s="3340">
        <v>15</v>
      </c>
      <c r="C10" s="3343"/>
      <c r="D10" s="3331"/>
      <c r="E10" s="123" t="s">
        <v>1276</v>
      </c>
      <c r="F10" s="1627"/>
      <c r="G10" s="1627"/>
      <c r="H10" s="1627"/>
      <c r="I10" s="1281"/>
    </row>
    <row r="11" spans="1:12" ht="12.75">
      <c r="A11" s="3285"/>
      <c r="B11" s="3340"/>
      <c r="C11" s="3344"/>
      <c r="D11" s="3331"/>
      <c r="E11" s="123" t="s">
        <v>1277</v>
      </c>
      <c r="F11" s="1627"/>
      <c r="G11" s="1627"/>
      <c r="H11" s="1627"/>
      <c r="I11" s="1281"/>
    </row>
    <row r="12" spans="1:12" ht="12.75">
      <c r="A12" s="3285" t="s">
        <v>1278</v>
      </c>
      <c r="B12" s="3340">
        <v>15</v>
      </c>
      <c r="C12" s="3343"/>
      <c r="D12" s="3331"/>
      <c r="E12" s="123" t="s">
        <v>1279</v>
      </c>
      <c r="F12" s="1627"/>
      <c r="G12" s="1627"/>
      <c r="H12" s="1627"/>
      <c r="I12" s="1281"/>
    </row>
    <row r="13" spans="1:12" ht="12.75">
      <c r="A13" s="3285"/>
      <c r="B13" s="3340"/>
      <c r="C13" s="3344"/>
      <c r="D13" s="3331"/>
      <c r="E13" s="123" t="s">
        <v>1280</v>
      </c>
      <c r="F13" s="1627"/>
      <c r="G13" s="1627"/>
      <c r="H13" s="1627"/>
      <c r="I13" s="1281"/>
    </row>
    <row r="14" spans="1:12" ht="12.75">
      <c r="A14" s="3285" t="s">
        <v>1281</v>
      </c>
      <c r="B14" s="3340">
        <v>30</v>
      </c>
      <c r="C14" s="3343">
        <v>8</v>
      </c>
      <c r="D14" s="3331">
        <f>10-C14</f>
        <v>2</v>
      </c>
      <c r="E14" s="123" t="s">
        <v>1282</v>
      </c>
      <c r="F14" s="1627"/>
      <c r="G14" s="1627"/>
      <c r="H14" s="1627"/>
      <c r="I14" s="1281"/>
    </row>
    <row r="15" spans="1:12" ht="12.75">
      <c r="A15" s="3285"/>
      <c r="B15" s="3340"/>
      <c r="C15" s="3345"/>
      <c r="D15" s="3331"/>
      <c r="E15" s="123" t="s">
        <v>1283</v>
      </c>
      <c r="F15" s="1627"/>
      <c r="G15" s="1627"/>
      <c r="H15" s="1627"/>
      <c r="I15" s="1281"/>
    </row>
    <row r="16" spans="1:12" ht="12.75">
      <c r="A16" s="3285"/>
      <c r="B16" s="3340"/>
      <c r="C16" s="3344"/>
      <c r="D16" s="3331"/>
      <c r="E16" s="123" t="s">
        <v>1284</v>
      </c>
      <c r="F16" s="1627"/>
      <c r="G16" s="1627"/>
      <c r="H16" s="1627"/>
      <c r="I16" s="1281"/>
    </row>
    <row r="17" spans="1:36" ht="15">
      <c r="A17" s="1628" t="s">
        <v>1285</v>
      </c>
      <c r="B17" s="54"/>
      <c r="C17" s="124">
        <f>SUM(C5:C16)</f>
        <v>8</v>
      </c>
      <c r="D17" s="124">
        <f>SUM(D5:D16)</f>
        <v>2</v>
      </c>
      <c r="E17" s="121"/>
      <c r="F17" s="121"/>
      <c r="G17" s="121"/>
      <c r="H17" s="121"/>
      <c r="I17" s="121"/>
      <c r="K17" s="294"/>
      <c r="L17" s="294" t="s">
        <v>1286</v>
      </c>
      <c r="M17" s="294" t="s">
        <v>1287</v>
      </c>
    </row>
    <row r="18" spans="1:36" ht="31.9" customHeight="1" thickBot="1">
      <c r="A18" s="1629" t="s">
        <v>1288</v>
      </c>
      <c r="B18" s="1542"/>
      <c r="C18" s="125">
        <f>ROUND(C17/SUM(C17:D17),2)</f>
        <v>0.8</v>
      </c>
      <c r="D18" s="125">
        <f>1-C18</f>
        <v>0.19999999999999996</v>
      </c>
      <c r="E18" s="3362" t="s">
        <v>2131</v>
      </c>
      <c r="F18" s="3363"/>
      <c r="G18" s="3363"/>
      <c r="H18" s="3363"/>
      <c r="I18" s="3363"/>
      <c r="K18" s="294" t="s">
        <v>1289</v>
      </c>
      <c r="L18" s="294">
        <f>IF(C1="",'数据-汇总表'!E3,SUMIF(项目类型,C1,'数据-汇总表'!E17:E26)+SUMIF(项目类型,C1,'数据-汇总表'!I17:I26))</f>
        <v>32.74</v>
      </c>
      <c r="M18" s="294">
        <f>IF(C1="",'数据-汇总表'!E3,SUMIF(项目类型,C1,'数据-汇总表'!E17:E26))</f>
        <v>32.74</v>
      </c>
    </row>
    <row r="19" spans="1:36" ht="15">
      <c r="A19" s="1630" t="s">
        <v>1290</v>
      </c>
      <c r="B19" s="1631" t="s">
        <v>1291</v>
      </c>
      <c r="C19" s="126">
        <f ca="1">SUMIF(INDIRECT("'"&amp;C4&amp;"'"&amp;"!A:A"),结果表!B19,INDIRECT("'"&amp;C4&amp;"'"&amp;"!B:B"))</f>
        <v>129.5686</v>
      </c>
      <c r="D19" s="127">
        <f ca="1">SUMIF(INDIRECT("'"&amp;D4&amp;"'"&amp;"!A:A"),结果表!B19,INDIRECT("'"&amp;D4&amp;"'"&amp;"!B:B"))</f>
        <v>65.195599999999999</v>
      </c>
      <c r="E19" s="1630" t="s">
        <v>1292</v>
      </c>
      <c r="F19" s="1631" t="s">
        <v>1291</v>
      </c>
      <c r="G19" s="128">
        <f ca="1">ROUND(C19*$C$18+D19*$D$18,0)</f>
        <v>117</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5">
      <c r="A20" s="1633"/>
      <c r="B20" s="43" t="s">
        <v>1295</v>
      </c>
      <c r="C20" s="129">
        <f ca="1">SUMIF(INDIRECT("'"&amp;C4&amp;"'"&amp;"!A:A"),结果表!B20,INDIRECT("'"&amp;C4&amp;"'"&amp;"!B:B"))</f>
        <v>39575</v>
      </c>
      <c r="D20" s="130">
        <f ca="1">SUMIF(INDIRECT("'"&amp;D4&amp;"'"&amp;"!A:A"),结果表!B20,INDIRECT("'"&amp;D4&amp;"'"&amp;"!B:B"))</f>
        <v>19913</v>
      </c>
      <c r="E20" s="1633"/>
      <c r="F20" s="43" t="s">
        <v>1295</v>
      </c>
      <c r="G20" s="131">
        <f ca="1">ROUND(C20*$C$18+D20*$D$18,0)</f>
        <v>35643</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0.98738258410076774</v>
      </c>
      <c r="E22" s="121"/>
      <c r="F22" s="121"/>
      <c r="G22" s="121"/>
      <c r="H22" s="121"/>
      <c r="I22" s="121"/>
    </row>
    <row r="23" spans="1:36" ht="13.5" thickBot="1">
      <c r="A23" s="646"/>
      <c r="B23" s="646"/>
      <c r="C23" s="646"/>
      <c r="D23" s="646"/>
      <c r="E23" s="121"/>
      <c r="F23" s="121"/>
      <c r="G23" s="121"/>
      <c r="H23" s="121"/>
      <c r="I23" s="121"/>
    </row>
    <row r="24" spans="1:36" ht="14.25">
      <c r="A24" s="3355" t="s">
        <v>1299</v>
      </c>
      <c r="B24" s="1631" t="s">
        <v>1291</v>
      </c>
      <c r="C24" s="128">
        <f>IF(B30=0,0,D30)</f>
        <v>0</v>
      </c>
      <c r="D24" s="1637"/>
      <c r="E24" s="121"/>
      <c r="F24" s="121"/>
      <c r="G24" s="121"/>
      <c r="H24" s="121"/>
      <c r="I24" s="121"/>
    </row>
    <row r="25" spans="1:36" ht="14.25">
      <c r="A25" s="3356"/>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4.25">
      <c r="A27" s="1639"/>
      <c r="B27" s="134">
        <v>0</v>
      </c>
      <c r="C27" s="134">
        <v>0</v>
      </c>
      <c r="D27" s="135">
        <f>ROUND(C27*B27/10000,0)</f>
        <v>0</v>
      </c>
      <c r="E27" s="121"/>
      <c r="F27" s="121"/>
      <c r="G27" s="121"/>
      <c r="H27" s="121"/>
      <c r="I27" s="121"/>
    </row>
    <row r="28" spans="1:36" ht="14.25">
      <c r="A28" s="1639"/>
      <c r="B28" s="134"/>
      <c r="C28" s="134"/>
      <c r="D28" s="135"/>
      <c r="E28" s="121"/>
      <c r="F28" s="121"/>
      <c r="G28" s="121"/>
      <c r="H28" s="121"/>
      <c r="I28" s="121"/>
    </row>
    <row r="29" spans="1:36" ht="14.25">
      <c r="A29" s="1639"/>
      <c r="B29" s="134"/>
      <c r="C29" s="134"/>
      <c r="D29" s="135"/>
      <c r="E29" s="121"/>
      <c r="F29" s="121"/>
      <c r="G29" s="121"/>
      <c r="H29" s="121"/>
      <c r="I29" s="121"/>
    </row>
    <row r="30" spans="1:36" ht="15" thickBot="1">
      <c r="A30" s="134" t="s">
        <v>1304</v>
      </c>
      <c r="B30" s="134"/>
      <c r="C30" s="134"/>
      <c r="D30" s="134"/>
      <c r="E30" s="2125" t="s">
        <v>2132</v>
      </c>
      <c r="F30" s="121"/>
      <c r="G30" s="121"/>
      <c r="H30" s="121"/>
      <c r="I30" s="121"/>
    </row>
    <row r="31" spans="1:36" s="2131" customFormat="1" ht="26.45" customHeight="1" thickTop="1" thickBot="1">
      <c r="A31" s="2126"/>
      <c r="B31" s="2127"/>
      <c r="C31" s="2127"/>
      <c r="D31" s="2127"/>
      <c r="E31" s="2127"/>
      <c r="F31" s="2127"/>
      <c r="G31" s="2127"/>
      <c r="H31" s="2127"/>
      <c r="I31" s="2128" t="s">
        <v>2133</v>
      </c>
      <c r="J31" s="2462"/>
      <c r="K31" s="2129"/>
      <c r="L31" s="2129"/>
      <c r="M31" s="2129"/>
      <c r="N31" s="2129"/>
      <c r="O31" s="2129"/>
      <c r="P31" s="2129"/>
      <c r="Q31" s="2129"/>
      <c r="R31" s="2129"/>
      <c r="S31" s="2129"/>
      <c r="T31" s="2129"/>
      <c r="U31" s="2129"/>
      <c r="V31" s="2129"/>
      <c r="W31" s="2129"/>
      <c r="X31" s="2129"/>
      <c r="Y31" s="2129"/>
      <c r="Z31" s="2129"/>
      <c r="AA31" s="2129"/>
      <c r="AB31" s="2130"/>
      <c r="AC31" s="2130"/>
      <c r="AD31" s="2130"/>
      <c r="AE31" s="2130"/>
      <c r="AF31" s="2130"/>
      <c r="AG31" s="2130"/>
      <c r="AH31" s="2130"/>
      <c r="AI31" s="2130"/>
      <c r="AJ31" s="2130"/>
    </row>
    <row r="32" spans="1:36" ht="16.5" thickTop="1" thickBot="1">
      <c r="A32" s="1640" t="s">
        <v>1305</v>
      </c>
      <c r="B32" s="1535"/>
      <c r="C32" s="136">
        <f ca="1">IF(D32="总价",G19-C24,G20-C25)</f>
        <v>35643</v>
      </c>
      <c r="D32" s="1641"/>
      <c r="E32" s="121"/>
      <c r="F32" s="121"/>
      <c r="G32" s="121"/>
      <c r="H32" s="121"/>
      <c r="I32" s="121"/>
    </row>
    <row r="33" spans="1:15" ht="15">
      <c r="A33" s="740" t="s">
        <v>1306</v>
      </c>
      <c r="B33" s="123"/>
      <c r="C33" s="1642"/>
      <c r="D33" s="1643"/>
      <c r="E33" s="1644" t="s">
        <v>1307</v>
      </c>
      <c r="F33" s="1645" t="str">
        <f>IF(D32="楼面单价","取值（单价）","取值（总价）")</f>
        <v>取值（总价）</v>
      </c>
      <c r="G33" s="121"/>
      <c r="H33" s="121"/>
      <c r="I33" s="121"/>
    </row>
    <row r="34" spans="1:15" ht="15">
      <c r="A34" s="1646"/>
      <c r="B34" s="1647" t="s">
        <v>1308</v>
      </c>
      <c r="C34" s="140" t="e">
        <f ca="1">IF(C33="自定义",F34,C32-C35)</f>
        <v>#REF!</v>
      </c>
      <c r="D34" s="808" t="e">
        <f ca="1">IF(C33="自定义",ROUND(C34/C32,3),IF(C33="收益比率",SUMIF(INDIRECT("'"&amp;D33&amp;"'"&amp;"!b:b"),"土地收益比率",INDIRECT("'"&amp;D33&amp;"'"&amp;"!c:c")),SUMIF(INDIRECT("'"&amp;D33&amp;"'"&amp;"!b:b"),"土地成本比率",INDIRECT("'"&amp;D33&amp;"'"&amp;"!c:c"))))</f>
        <v>#REF!</v>
      </c>
      <c r="E34" s="1648" t="s">
        <v>1309</v>
      </c>
      <c r="F34" s="1243"/>
      <c r="G34" s="121"/>
      <c r="H34" s="121"/>
      <c r="I34" s="121"/>
    </row>
    <row r="35" spans="1:15" ht="15.75" thickBot="1">
      <c r="A35" s="1649"/>
      <c r="B35" s="1650" t="s">
        <v>1310</v>
      </c>
      <c r="C35" s="1090" t="e">
        <f ca="1">IF(C33="自定义",F35,ROUND(C32*D35,0))</f>
        <v>#REF!</v>
      </c>
      <c r="D35" s="1091" t="e">
        <f ca="1">IF(C33="自定义",ROUND(C35/C32,3),IF(C33="收益比率",SUMIF(INDIRECT("'"&amp;D33&amp;"'"&amp;"!b:b"),"建筑物收益比率",INDIRECT("'"&amp;D33&amp;"'"&amp;"!c:c")),SUMIF(INDIRECT("'"&amp;D33&amp;"'"&amp;"!b:b"),"建筑物成本比率",INDIRECT("'"&amp;D33&amp;"'"&amp;"!c:c"))))</f>
        <v>#REF!</v>
      </c>
      <c r="E35" s="1651" t="s">
        <v>1311</v>
      </c>
      <c r="F35" s="146"/>
      <c r="G35" s="121"/>
      <c r="H35" s="121"/>
      <c r="I35" s="121"/>
    </row>
    <row r="36" spans="1:15" ht="15.75" thickBot="1">
      <c r="A36" s="3332" t="s">
        <v>1312</v>
      </c>
      <c r="B36" s="1652" t="s">
        <v>1313</v>
      </c>
      <c r="C36" s="137"/>
      <c r="D36" s="1653"/>
      <c r="E36" s="1567"/>
      <c r="F36" s="1654"/>
      <c r="G36" s="121"/>
      <c r="H36" s="121"/>
      <c r="I36" s="121"/>
    </row>
    <row r="37" spans="1:15" ht="15.75" thickBot="1">
      <c r="A37" s="3333"/>
      <c r="B37" s="1555" t="s">
        <v>1314</v>
      </c>
      <c r="C37" s="139"/>
      <c r="D37" s="1071"/>
      <c r="E37" s="1071"/>
      <c r="F37" s="1654"/>
      <c r="G37" s="121"/>
      <c r="H37" s="121"/>
      <c r="I37" s="121"/>
    </row>
    <row r="38" spans="1:15" ht="15.75" thickBot="1">
      <c r="A38" s="3334"/>
      <c r="B38" s="1655" t="s">
        <v>1315</v>
      </c>
      <c r="C38" s="641"/>
      <c r="D38" s="1656" t="s">
        <v>1316</v>
      </c>
      <c r="E38" s="1071"/>
      <c r="F38" s="1654"/>
      <c r="G38" s="121"/>
      <c r="H38" s="121"/>
      <c r="I38" s="121"/>
    </row>
    <row r="39" spans="1:15" ht="15">
      <c r="A39" s="1633" t="s">
        <v>1317</v>
      </c>
      <c r="B39" s="1657" t="s">
        <v>1318</v>
      </c>
      <c r="C39" s="1658" t="s">
        <v>1319</v>
      </c>
      <c r="D39" s="1658" t="s">
        <v>1320</v>
      </c>
      <c r="E39" s="1659" t="s">
        <v>1321</v>
      </c>
      <c r="F39" s="1654"/>
      <c r="G39" s="121"/>
      <c r="H39" s="121"/>
      <c r="I39" s="121"/>
    </row>
    <row r="40" spans="1:15" ht="14.25">
      <c r="A40" s="1660" t="s">
        <v>1322</v>
      </c>
      <c r="B40" s="141"/>
      <c r="C40" s="142"/>
      <c r="D40" s="142"/>
      <c r="E40" s="143"/>
      <c r="F40" s="1654"/>
      <c r="G40" s="121"/>
      <c r="H40" s="121"/>
      <c r="I40" s="121"/>
    </row>
    <row r="41" spans="1:15" ht="14.25">
      <c r="A41" s="1660" t="s">
        <v>1323</v>
      </c>
      <c r="B41" s="141"/>
      <c r="C41" s="142"/>
      <c r="D41" s="142"/>
      <c r="E41" s="143"/>
      <c r="F41" s="1654"/>
      <c r="G41" s="121"/>
      <c r="H41" s="121"/>
      <c r="I41" s="121"/>
    </row>
    <row r="42" spans="1:15" ht="15" thickBot="1">
      <c r="A42" s="1661"/>
      <c r="B42" s="144"/>
      <c r="C42" s="145"/>
      <c r="D42" s="145"/>
      <c r="E42" s="146"/>
      <c r="F42" s="1654"/>
      <c r="G42" s="121"/>
      <c r="H42" s="121"/>
      <c r="I42" s="121"/>
    </row>
    <row r="43" spans="1:15" ht="12.75">
      <c r="A43" s="1467"/>
      <c r="B43" s="1467"/>
      <c r="C43" s="1467"/>
      <c r="D43" s="1467"/>
      <c r="E43" s="1467"/>
      <c r="F43" s="1662"/>
      <c r="G43" s="1662"/>
      <c r="H43" s="1662"/>
      <c r="I43" s="1663"/>
    </row>
    <row r="44" spans="1:15" ht="18.75">
      <c r="A44" s="1464" t="s">
        <v>1324</v>
      </c>
      <c r="B44" s="1664"/>
      <c r="C44" s="1664"/>
      <c r="D44" s="1665"/>
      <c r="E44" s="1665"/>
      <c r="F44" s="1666"/>
      <c r="G44" s="1666"/>
      <c r="H44" s="1666"/>
      <c r="I44" s="1666"/>
      <c r="J44" s="1667" t="s">
        <v>1325</v>
      </c>
      <c r="K44" s="4"/>
      <c r="L44" s="4"/>
      <c r="M44" s="4"/>
      <c r="N44" s="4"/>
      <c r="O44" s="4"/>
    </row>
    <row r="45" spans="1:15" ht="14.25" customHeight="1" thickBot="1">
      <c r="A45" s="3352" t="s">
        <v>1326</v>
      </c>
      <c r="B45" s="3353"/>
      <c r="C45" s="3354"/>
      <c r="D45" s="147" t="e">
        <f ca="1">ROUND(H101*F45,0)</f>
        <v>#REF!</v>
      </c>
      <c r="E45" s="148" t="s">
        <v>1327</v>
      </c>
      <c r="F45" s="149">
        <v>1</v>
      </c>
      <c r="G45" s="150" t="s">
        <v>1328</v>
      </c>
      <c r="H45" s="121"/>
      <c r="I45" s="121"/>
      <c r="J45" s="3272" t="s">
        <v>1329</v>
      </c>
      <c r="K45" s="3272"/>
      <c r="L45" s="3272"/>
      <c r="M45" s="3272"/>
      <c r="N45" s="3272"/>
      <c r="O45" s="3272"/>
    </row>
    <row r="46" spans="1:15" ht="14.25" customHeight="1">
      <c r="A46" s="3349" t="s">
        <v>1330</v>
      </c>
      <c r="B46" s="3350"/>
      <c r="C46" s="3350"/>
      <c r="D46" s="3350"/>
      <c r="E46" s="3350"/>
      <c r="F46" s="3350"/>
      <c r="G46" s="3351"/>
      <c r="H46" s="1668"/>
      <c r="I46" s="151"/>
      <c r="J46" s="2308">
        <v>1</v>
      </c>
      <c r="K46" s="3273" t="s">
        <v>1331</v>
      </c>
      <c r="L46" s="3273"/>
      <c r="M46" s="3274"/>
      <c r="N46" s="3274"/>
      <c r="O46" s="3274"/>
    </row>
    <row r="47" spans="1:15" ht="12" customHeight="1">
      <c r="A47" s="152" t="s">
        <v>1332</v>
      </c>
      <c r="B47" s="153"/>
      <c r="C47" s="154"/>
      <c r="D47" s="1024" t="s">
        <v>1333</v>
      </c>
      <c r="E47" s="294" t="s">
        <v>1334</v>
      </c>
      <c r="F47" s="155" t="s">
        <v>1335</v>
      </c>
      <c r="G47" s="2331" t="s">
        <v>1336</v>
      </c>
      <c r="H47" s="2332"/>
      <c r="I47" s="151"/>
      <c r="J47" s="2308">
        <v>2</v>
      </c>
      <c r="K47" s="3273" t="s">
        <v>1337</v>
      </c>
      <c r="L47" s="3273"/>
      <c r="M47" s="3275">
        <f>'数据-取费表'!B2</f>
        <v>46015</v>
      </c>
      <c r="N47" s="3275"/>
      <c r="O47" s="3275"/>
    </row>
    <row r="48" spans="1:15" ht="25.5">
      <c r="A48" s="3335" t="s">
        <v>1338</v>
      </c>
      <c r="B48" s="3336"/>
      <c r="C48" s="3336"/>
      <c r="D48" s="12" t="b">
        <f>IF(H48="情况1",0,IF(H48="情况2",D52,IF(H48="情况3",D53,IF(H48="情况4",D54))))</f>
        <v>0</v>
      </c>
      <c r="E48" s="1256" t="str">
        <f>IF(H48="情况4","(销售额-原购置价)×税（费）率","销售额×税（费）率")</f>
        <v>销售额×税（费）率</v>
      </c>
      <c r="F48" s="2333">
        <f>IF(H48="情况1","免征",'数据-取费表'!B41)</f>
        <v>5.6000000000000001E-2</v>
      </c>
      <c r="G48" s="2334" t="s">
        <v>1339</v>
      </c>
      <c r="H48" s="2335"/>
      <c r="I48" s="1668"/>
      <c r="J48" s="2308">
        <v>3</v>
      </c>
      <c r="K48" s="3273" t="s">
        <v>1340</v>
      </c>
      <c r="L48" s="3273"/>
      <c r="M48" s="3276" t="e">
        <f ca="1">H101</f>
        <v>#REF!</v>
      </c>
      <c r="N48" s="3276"/>
      <c r="O48" s="3276"/>
    </row>
    <row r="49" spans="1:35" ht="25.5" customHeight="1">
      <c r="A49" s="2150" t="s">
        <v>1341</v>
      </c>
      <c r="B49" s="3321" t="s">
        <v>1342</v>
      </c>
      <c r="C49" s="3321"/>
      <c r="D49" s="1478">
        <v>0</v>
      </c>
      <c r="E49" s="316" t="s">
        <v>1343</v>
      </c>
      <c r="F49" s="2231" t="s">
        <v>28</v>
      </c>
      <c r="G49" s="3304"/>
      <c r="H49" s="2132" t="s">
        <v>2134</v>
      </c>
      <c r="I49" s="2133"/>
      <c r="J49" s="2308">
        <v>4</v>
      </c>
      <c r="K49" s="3273" t="str">
        <f>IF(项目基本情况!E8="房地产抵押价值","房地产抵押价值","抵押担保权已注销时的房地产抵押价值")</f>
        <v>抵押担保权已注销时的房地产抵押价值</v>
      </c>
      <c r="L49" s="3273"/>
      <c r="M49" s="3276" t="str">
        <f>IF(项目基本情况!E8="房地产抵押价值",H107,H109)</f>
        <v>——</v>
      </c>
      <c r="N49" s="3276"/>
      <c r="O49" s="3276"/>
    </row>
    <row r="50" spans="1:35" ht="25.5" customHeight="1">
      <c r="A50" s="2336"/>
      <c r="B50" s="3321" t="s">
        <v>1344</v>
      </c>
      <c r="C50" s="3321"/>
      <c r="D50" s="2187"/>
      <c r="E50" s="323"/>
      <c r="F50" s="2231"/>
      <c r="G50" s="3305"/>
      <c r="H50" s="2134" t="s">
        <v>2135</v>
      </c>
      <c r="I50" s="2133"/>
      <c r="J50" s="3272" t="s">
        <v>1345</v>
      </c>
      <c r="K50" s="3272"/>
      <c r="L50" s="3272"/>
      <c r="M50" s="3272"/>
      <c r="N50" s="3272"/>
      <c r="O50" s="3272"/>
    </row>
    <row r="51" spans="1:35" ht="20.45" customHeight="1">
      <c r="A51" s="2337"/>
      <c r="B51" s="3321" t="s">
        <v>1346</v>
      </c>
      <c r="C51" s="3321"/>
      <c r="D51" s="1024"/>
      <c r="E51" s="319"/>
      <c r="F51" s="2231"/>
      <c r="G51" s="3306"/>
      <c r="H51" s="2134" t="s">
        <v>2136</v>
      </c>
      <c r="I51" s="2133"/>
      <c r="J51" s="2309" t="s">
        <v>1347</v>
      </c>
      <c r="K51" s="3273" t="s">
        <v>1348</v>
      </c>
      <c r="L51" s="3273"/>
      <c r="M51" s="2309" t="s">
        <v>1349</v>
      </c>
      <c r="N51" s="2309" t="s">
        <v>1350</v>
      </c>
      <c r="O51" s="2309" t="s">
        <v>1351</v>
      </c>
    </row>
    <row r="52" spans="1:35" ht="24" customHeight="1">
      <c r="A52" s="2151" t="s">
        <v>1352</v>
      </c>
      <c r="B52" s="3321" t="s">
        <v>1353</v>
      </c>
      <c r="C52" s="3321"/>
      <c r="D52" s="1024" t="e">
        <f ca="1">ROUND(D45*'数据-取费表'!B41/(1+'数据-取费表'!C42),0)</f>
        <v>#REF!</v>
      </c>
      <c r="E52" s="1256" t="s">
        <v>1354</v>
      </c>
      <c r="F52" s="2338">
        <f>'数据-取费表'!B41</f>
        <v>5.6000000000000001E-2</v>
      </c>
      <c r="G52" s="2339"/>
      <c r="H52" s="2329"/>
      <c r="I52" s="1669"/>
      <c r="J52" s="2308">
        <v>1</v>
      </c>
      <c r="K52" s="3298" t="s">
        <v>1355</v>
      </c>
      <c r="L52" s="3298"/>
      <c r="M52" s="2310" t="b">
        <f>D48</f>
        <v>0</v>
      </c>
      <c r="N52" s="2308" t="str">
        <f>E48</f>
        <v>销售额×税（费）率</v>
      </c>
      <c r="O52" s="2311">
        <f>F48</f>
        <v>5.6000000000000001E-2</v>
      </c>
    </row>
    <row r="53" spans="1:35" ht="12" customHeight="1">
      <c r="A53" s="2151" t="s">
        <v>1356</v>
      </c>
      <c r="B53" s="3322" t="s">
        <v>2291</v>
      </c>
      <c r="C53" s="3323"/>
      <c r="D53" s="1024" t="e">
        <f ca="1">ROUND(D45*'数据-取费表'!B41/(1+'数据-取费表'!C42),0)</f>
        <v>#REF!</v>
      </c>
      <c r="E53" s="1256" t="s">
        <v>1354</v>
      </c>
      <c r="F53" s="2338">
        <f>'数据-取费表'!B41</f>
        <v>5.6000000000000001E-2</v>
      </c>
      <c r="G53" s="2339"/>
      <c r="H53" s="2329"/>
      <c r="I53" s="1669"/>
      <c r="J53" s="2308">
        <v>2</v>
      </c>
      <c r="K53" s="3298" t="s">
        <v>1357</v>
      </c>
      <c r="L53" s="3298"/>
      <c r="M53" s="2310" t="e">
        <f t="shared" ref="M53:O54" ca="1" si="0">D55</f>
        <v>#REF!</v>
      </c>
      <c r="N53" s="2308" t="str">
        <f t="shared" si="0"/>
        <v>销售额×税（费）率</v>
      </c>
      <c r="O53" s="2311" t="str">
        <f t="shared" si="0"/>
        <v>免征</v>
      </c>
    </row>
    <row r="54" spans="1:35" ht="12" customHeight="1">
      <c r="A54" s="2151" t="s">
        <v>1358</v>
      </c>
      <c r="B54" s="3322" t="s">
        <v>2292</v>
      </c>
      <c r="C54" s="3323"/>
      <c r="D54" s="1024" t="e">
        <f ca="1">C68</f>
        <v>#REF!</v>
      </c>
      <c r="E54" s="319" t="s">
        <v>1359</v>
      </c>
      <c r="F54" s="2338">
        <f>'数据-取费表'!B41</f>
        <v>5.6000000000000001E-2</v>
      </c>
      <c r="G54" s="2339"/>
      <c r="H54" s="2340"/>
      <c r="I54" s="1669"/>
      <c r="J54" s="2308">
        <v>3</v>
      </c>
      <c r="K54" s="3298" t="s">
        <v>1360</v>
      </c>
      <c r="L54" s="3298"/>
      <c r="M54" s="2310" t="e">
        <f t="shared" ca="1" si="0"/>
        <v>#REF!</v>
      </c>
      <c r="N54" s="2308" t="str">
        <f t="shared" si="0"/>
        <v>增值额×税（费）率</v>
      </c>
      <c r="O54" s="2312" t="str">
        <f t="shared" si="0"/>
        <v>免征</v>
      </c>
    </row>
    <row r="55" spans="1:35" ht="24" customHeight="1">
      <c r="A55" s="3358" t="s">
        <v>1361</v>
      </c>
      <c r="B55" s="3336"/>
      <c r="C55" s="3336"/>
      <c r="D55" s="12" t="e">
        <f ca="1">IF(H55="个人住宅",0,ROUND(D45*I55,0))</f>
        <v>#REF!</v>
      </c>
      <c r="E55" s="1256" t="s">
        <v>1362</v>
      </c>
      <c r="F55" s="2338" t="str">
        <f>IF(H55="正常",I55,"免征")</f>
        <v>免征</v>
      </c>
      <c r="G55" s="2339"/>
      <c r="H55" s="2335"/>
      <c r="I55" s="157">
        <f>'数据-取费表'!B49</f>
        <v>5.0000000000000001E-4</v>
      </c>
      <c r="J55" s="2308">
        <f>IF(H59="非个人房产","",4)</f>
        <v>4</v>
      </c>
      <c r="K55" s="3298" t="str">
        <f>IF(H59="非个人房产","——","个人所得税")</f>
        <v>个人所得税</v>
      </c>
      <c r="L55" s="3298"/>
      <c r="M55" s="2313" t="e">
        <f ca="1">D59</f>
        <v>#REF!</v>
      </c>
      <c r="N55" s="1881" t="str">
        <f>E59</f>
        <v>差额计税</v>
      </c>
      <c r="O55" s="2314">
        <f>F59</f>
        <v>0.01</v>
      </c>
    </row>
    <row r="56" spans="1:35" ht="24.75">
      <c r="A56" s="3358" t="s">
        <v>1363</v>
      </c>
      <c r="B56" s="3336"/>
      <c r="C56" s="3336"/>
      <c r="D56" s="12" t="e">
        <f ca="1">IF(H56="个人住宅",D57,D58)</f>
        <v>#REF!</v>
      </c>
      <c r="E56" s="1256" t="s">
        <v>1364</v>
      </c>
      <c r="F56" s="2338" t="str">
        <f>IF(H56="正常",F58,"免征")</f>
        <v>免征</v>
      </c>
      <c r="G56" s="2341" t="s">
        <v>1365</v>
      </c>
      <c r="H56" s="2342"/>
      <c r="I56" s="1670"/>
      <c r="J56" s="2308" t="str">
        <f>IF(项目基本情况!K6="上海银行",IF(J55="",4,J55+1),"")</f>
        <v/>
      </c>
      <c r="K56" s="3279" t="str">
        <f>IF(项目基本情况!K6="上海银行","其他处置费用","")</f>
        <v/>
      </c>
      <c r="L56" s="3280"/>
      <c r="M56" s="2310" t="str">
        <f>IF(项目基本情况!K6="上海银行",M69,"")</f>
        <v/>
      </c>
      <c r="N56" s="3279" t="str">
        <f>IF(项目基本情况!K6="上海银行","包含处置中涉及的律师、诉讼、拍卖、评估等费用","")</f>
        <v/>
      </c>
      <c r="O56" s="3282"/>
    </row>
    <row r="57" spans="1:35" ht="12.75">
      <c r="A57" s="2151" t="s">
        <v>1341</v>
      </c>
      <c r="B57" s="3322" t="s">
        <v>1366</v>
      </c>
      <c r="C57" s="3323"/>
      <c r="D57" s="1478">
        <v>0</v>
      </c>
      <c r="E57" s="316" t="s">
        <v>1343</v>
      </c>
      <c r="F57" s="294"/>
      <c r="G57" s="2339"/>
      <c r="H57" s="2343"/>
      <c r="I57" s="1670"/>
      <c r="J57" s="3298">
        <f>IF(AND(J55="",J56=""),4,IF(项目基本情况!K6="上海银行",结果表!J56+1,结果表!J55+1))</f>
        <v>5</v>
      </c>
      <c r="K57" s="3298" t="s">
        <v>1367</v>
      </c>
      <c r="L57" s="2315" t="s">
        <v>1368</v>
      </c>
      <c r="M57" s="2316"/>
      <c r="N57" s="2317">
        <f ca="1">SUMIF(M52:M56,"&lt;9e307")</f>
        <v>0</v>
      </c>
      <c r="O57" s="2318"/>
      <c r="P57" s="2463" t="e">
        <f ca="1">N57/M49</f>
        <v>#VALUE!</v>
      </c>
    </row>
    <row r="58" spans="1:35" ht="24.75">
      <c r="A58" s="2151" t="s">
        <v>1352</v>
      </c>
      <c r="B58" s="3322" t="s">
        <v>1369</v>
      </c>
      <c r="C58" s="3321"/>
      <c r="D58" s="12" t="e">
        <f ca="1">IF(H58="转让取得",C81,C97)</f>
        <v>#REF!</v>
      </c>
      <c r="E58" s="1256" t="s">
        <v>1364</v>
      </c>
      <c r="F58" s="294" t="s">
        <v>28</v>
      </c>
      <c r="G58" s="2339"/>
      <c r="H58" s="2342"/>
      <c r="I58" s="1670"/>
      <c r="J58" s="3298"/>
      <c r="K58" s="3298"/>
      <c r="L58" s="2315" t="s">
        <v>1370</v>
      </c>
      <c r="M58" s="2319"/>
      <c r="N58" s="2320" t="str">
        <f ca="1">NUMBERSTRING(INT(N57*10000),2)&amp;"元整"</f>
        <v>零元整</v>
      </c>
      <c r="O58" s="2321"/>
    </row>
    <row r="59" spans="1:35" ht="24.75" thickBot="1">
      <c r="A59" s="3302" t="s">
        <v>1371</v>
      </c>
      <c r="B59" s="3303"/>
      <c r="C59" s="3303"/>
      <c r="D59" s="2344">
        <f ca="1">IF(H59="非个人房产","——",IF(H59="个人住宅（满五唯一有凭证）",0,IF(H59="个人其他（无凭证）",ROUND(D45/(1+'数据-取费表'!C42)*F59,0),ROUND(C67*F59,0))))</f>
        <v>0</v>
      </c>
      <c r="E59" s="2345" t="str">
        <f>IF(H59="非个人房产","——",IF(H59="个人其他（无凭证）","销售额×税（费）率",IF(H59="个人住宅（满五唯一有凭证）","免征","差额计税")))</f>
        <v>差额计税</v>
      </c>
      <c r="F59" s="2346">
        <f>IF(OR(H59="非个人房产",H59="个人住宅（满五唯一有凭证）"),"——",IF(H59="个人其他（有凭证）",20%,1%))</f>
        <v>0.01</v>
      </c>
      <c r="G59" s="2347" t="s">
        <v>1365</v>
      </c>
      <c r="H59" s="2136"/>
      <c r="I59" s="2135" t="s">
        <v>2137</v>
      </c>
      <c r="J59" s="3300">
        <f>J57+1</f>
        <v>6</v>
      </c>
      <c r="K59" s="3298" t="s">
        <v>1372</v>
      </c>
      <c r="L59" s="2308" t="s">
        <v>1368</v>
      </c>
      <c r="M59" s="2322"/>
      <c r="N59" s="2323" t="e">
        <f ca="1">M49-N57</f>
        <v>#VALUE!</v>
      </c>
      <c r="O59" s="2324"/>
    </row>
    <row r="60" spans="1:35" ht="12" customHeight="1">
      <c r="A60" s="1671"/>
      <c r="B60" s="646"/>
      <c r="C60" s="646"/>
      <c r="D60" s="646"/>
      <c r="E60" s="1466"/>
      <c r="F60" s="1670"/>
      <c r="G60" s="1670"/>
      <c r="H60" s="151"/>
      <c r="I60" s="121"/>
      <c r="J60" s="3301"/>
      <c r="K60" s="3298"/>
      <c r="L60" s="2315" t="s">
        <v>1370</v>
      </c>
      <c r="M60" s="2319"/>
      <c r="N60" s="2320" t="e">
        <f ca="1">NUMBERSTRING(INT(N59*10000),2)&amp;"元整"</f>
        <v>#VALUE!</v>
      </c>
      <c r="O60" s="2321"/>
    </row>
    <row r="61" spans="1:35" ht="13.5" thickBot="1">
      <c r="A61" s="3357" t="s">
        <v>1373</v>
      </c>
      <c r="B61" s="3357"/>
      <c r="C61" s="3357"/>
      <c r="D61" s="3357"/>
      <c r="E61" s="3357"/>
      <c r="F61" s="1670"/>
      <c r="G61" s="1670"/>
      <c r="H61" s="151"/>
      <c r="I61" s="121"/>
      <c r="J61" s="2308">
        <f>J59+1</f>
        <v>7</v>
      </c>
      <c r="K61" s="3298" t="s">
        <v>1374</v>
      </c>
      <c r="L61" s="3298"/>
      <c r="M61" s="2325"/>
      <c r="N61" s="2326" t="e">
        <f ca="1">ROUND(N59*10000/'数据-汇总表'!E3,0)</f>
        <v>#VALUE!</v>
      </c>
      <c r="O61" s="2327"/>
    </row>
    <row r="62" spans="1:35" ht="12.75">
      <c r="A62" s="3317" t="s">
        <v>1375</v>
      </c>
      <c r="B62" s="3318"/>
      <c r="C62" s="1863"/>
      <c r="D62" s="1863" t="s">
        <v>1376</v>
      </c>
      <c r="E62" s="158" t="s">
        <v>1377</v>
      </c>
      <c r="F62" s="1670"/>
      <c r="G62" s="1670"/>
      <c r="H62" s="151"/>
      <c r="I62" s="121"/>
    </row>
    <row r="63" spans="1:35" ht="12.75">
      <c r="A63" s="165" t="s">
        <v>330</v>
      </c>
      <c r="B63" s="159" t="s">
        <v>1378</v>
      </c>
      <c r="C63" s="2348" t="e">
        <f ca="1">ROUND((C64+C65)/(1+'数据-取费表'!C42),0)</f>
        <v>#REF!</v>
      </c>
      <c r="D63" s="159"/>
      <c r="E63" s="160"/>
      <c r="F63" s="1670"/>
      <c r="G63" s="1670"/>
      <c r="H63" s="151"/>
      <c r="I63" s="121"/>
      <c r="J63" s="3281" t="s">
        <v>1379</v>
      </c>
      <c r="K63" s="1245" t="s">
        <v>1380</v>
      </c>
      <c r="L63" s="1245" t="e">
        <f>IF(M49&gt;10000,M49*0.5%,IF(AND(M49&gt;1000,M49&lt;=10000),M49*1%,IF(AND(M49&gt;100,M49&lt;=1000),M49*3%,IF(AND(M49&gt;10,M49&lt;=100),M49*5%,M49*8%))))</f>
        <v>#VALUE!</v>
      </c>
      <c r="M63" s="294" t="e">
        <f>ROUND(L63,1)</f>
        <v>#VALUE!</v>
      </c>
      <c r="N63" s="2328"/>
      <c r="Z63" s="1623"/>
      <c r="AI63" s="1561"/>
    </row>
    <row r="64" spans="1:35" ht="14.25" customHeight="1">
      <c r="A64" s="161" t="s">
        <v>325</v>
      </c>
      <c r="B64" s="162" t="s">
        <v>1381</v>
      </c>
      <c r="C64" s="2349" t="e">
        <f ca="1">D45</f>
        <v>#REF!</v>
      </c>
      <c r="D64" s="162" t="s">
        <v>26</v>
      </c>
      <c r="E64" s="164"/>
      <c r="F64" s="1670"/>
      <c r="G64" s="1670"/>
      <c r="H64" s="151"/>
      <c r="I64" s="121"/>
      <c r="J64" s="3281"/>
      <c r="K64" s="1245" t="s">
        <v>1382</v>
      </c>
      <c r="L64" s="1245" t="e">
        <f>IF(M49&gt;2000,M49*0.5%,IF(AND(M49&gt;1000,M49&lt;=2000),M49*0.6%,IF(AND(M49&gt;500,M49&lt;=1000),M49*0.7%,IF(AND(M49&gt;200,M49&lt;=500),M49*0.8%,IF(AND(M49&gt;100,M49&lt;=200),M49*0.9%,IF(AND(M49&gt;50,M49&lt;=100),M49*1%,IF(AND(M49&gt;20,M49&lt;=50),M49*1.5%,IF(AND(M49&gt;10,M49&lt;=20),M49*2%,IF(AND(M49&gt;1,M49&lt;=10),M49*2.5%)))))))))</f>
        <v>#VALUE!</v>
      </c>
      <c r="M64" s="294" t="e">
        <f t="shared" ref="M64:M65" si="1">ROUND(L64,1)</f>
        <v>#VALUE!</v>
      </c>
      <c r="N64" s="2329" t="s">
        <v>1383</v>
      </c>
      <c r="Z64" s="1623"/>
      <c r="AI64" s="1561"/>
    </row>
    <row r="65" spans="1:35" ht="14.25" customHeight="1">
      <c r="A65" s="161" t="s">
        <v>326</v>
      </c>
      <c r="B65" s="162" t="s">
        <v>1384</v>
      </c>
      <c r="C65" s="2350"/>
      <c r="D65" s="162"/>
      <c r="E65" s="164"/>
      <c r="F65" s="1670"/>
      <c r="G65" s="1670"/>
      <c r="H65" s="151"/>
      <c r="I65" s="121"/>
      <c r="J65" s="3281"/>
      <c r="K65" s="1245" t="s">
        <v>1385</v>
      </c>
      <c r="L65" s="1245" t="e">
        <f>IF(M49&gt;1000,M49*0.1%,IF(AND(M49&gt;500,M49&lt;=1000),M49*0.5%,IF(AND(M49&gt;50,M49&lt;=500),M49*1%,IF(AND(M49&gt;1,M49&lt;=50),M49*1.5%))))</f>
        <v>#VALUE!</v>
      </c>
      <c r="M65" s="294" t="e">
        <f t="shared" si="1"/>
        <v>#VALUE!</v>
      </c>
      <c r="N65" s="2329" t="s">
        <v>1383</v>
      </c>
      <c r="Z65" s="1623"/>
      <c r="AI65" s="1561"/>
    </row>
    <row r="66" spans="1:35" ht="14.25" customHeight="1">
      <c r="A66" s="165" t="s">
        <v>327</v>
      </c>
      <c r="B66" s="166" t="s">
        <v>1386</v>
      </c>
      <c r="C66" s="2351"/>
      <c r="D66" s="166" t="s">
        <v>26</v>
      </c>
      <c r="E66" s="1251" t="s">
        <v>671</v>
      </c>
      <c r="F66" s="1670"/>
      <c r="G66" s="1670"/>
      <c r="H66" s="151"/>
      <c r="I66" s="121"/>
      <c r="J66" s="3281"/>
      <c r="K66" s="1245" t="s">
        <v>1387</v>
      </c>
      <c r="L66" s="1245" t="e">
        <f>M49*0.5%</f>
        <v>#VALUE!</v>
      </c>
      <c r="M66" s="294" t="e">
        <f>IF(L66&gt;0.5,0.5,ROUND(L66,0))</f>
        <v>#VALUE!</v>
      </c>
      <c r="N66" s="2329" t="s">
        <v>1388</v>
      </c>
      <c r="Z66" s="1623"/>
      <c r="AI66" s="1561"/>
    </row>
    <row r="67" spans="1:35" ht="14.25" customHeight="1">
      <c r="A67" s="165" t="s">
        <v>328</v>
      </c>
      <c r="B67" s="166" t="s">
        <v>1389</v>
      </c>
      <c r="C67" s="2352" t="e">
        <f ca="1">C63-C66</f>
        <v>#REF!</v>
      </c>
      <c r="D67" s="162" t="s">
        <v>26</v>
      </c>
      <c r="E67" s="164"/>
      <c r="F67" s="1670"/>
      <c r="G67" s="1670"/>
      <c r="H67" s="151"/>
      <c r="I67" s="121"/>
      <c r="J67" s="3281"/>
      <c r="K67" s="1245" t="s">
        <v>1390</v>
      </c>
      <c r="L67" s="1245" t="e">
        <f>IF(M49&gt;=10000,(8.25+(M49-10000)*0.01%),IF(AND(M49&gt;=8000,M49&lt;10000),(7.85+(M49-8000)*0.02%),IF(AND(M49&gt;=5000,M49&lt;8000),(6.65+(M49-5000)*0.04%),IF(AND(M49&gt;=2000,M49&lt;5000),(4.25+(PM49-2000)*0.08%),IF(AND(M49&gt;=1000,M49&lt;2000),(2.75+(M49-1000)*0.15%),IF(AND(M49&gt;=100,M49&lt;1000),(0.5+(M49-100)*0.25%),IF(AND(M49&gt;0,M49&lt;100),M49*0.5%)))))))</f>
        <v>#VALUE!</v>
      </c>
      <c r="M67" s="294" t="e">
        <f>ROUND(L67*0.9,1)</f>
        <v>#VALUE!</v>
      </c>
      <c r="N67" s="2328"/>
      <c r="Z67" s="1623"/>
      <c r="AI67" s="1561"/>
    </row>
    <row r="68" spans="1:35" ht="14.25" customHeight="1" thickBot="1">
      <c r="A68" s="168" t="s">
        <v>329</v>
      </c>
      <c r="B68" s="169" t="s">
        <v>1391</v>
      </c>
      <c r="C68" s="2353" t="e">
        <f ca="1">IF(C67&lt;=0,0,ROUND(C67*D68,0))</f>
        <v>#REF!</v>
      </c>
      <c r="D68" s="2354">
        <f>'数据-取费表'!B41</f>
        <v>5.6000000000000001E-2</v>
      </c>
      <c r="E68" s="170"/>
      <c r="F68" s="1670"/>
      <c r="G68" s="1670"/>
      <c r="H68" s="151"/>
      <c r="I68" s="121"/>
      <c r="J68" s="3281"/>
      <c r="K68" s="1245" t="s">
        <v>1392</v>
      </c>
      <c r="L68" s="1245" t="e">
        <f>IF(M49&gt;10000,M49*0.5%,IF(AND(M49&gt;5000,M49&lt;=10000),M49*1%,IF(AND(M49&gt;1000,M49&lt;=5000),M49*2%,IF(AND(M49&gt;200,M49&lt;=1000),M49*3%,M49*5%))))</f>
        <v>#VALUE!</v>
      </c>
      <c r="M68" s="294" t="e">
        <f>ROUND(L68,1)</f>
        <v>#VALUE!</v>
      </c>
      <c r="N68" s="2328"/>
      <c r="Z68" s="1623"/>
      <c r="AI68" s="1561"/>
    </row>
    <row r="69" spans="1:35" ht="16.5" customHeight="1">
      <c r="A69" s="1672"/>
      <c r="B69" s="1673"/>
      <c r="C69" s="1674"/>
      <c r="D69" s="1675"/>
      <c r="E69" s="1676"/>
      <c r="F69" s="1466"/>
      <c r="G69" s="1466"/>
      <c r="H69" s="1467"/>
      <c r="I69" s="646"/>
      <c r="J69" s="3281"/>
      <c r="K69" s="1245" t="s">
        <v>1393</v>
      </c>
      <c r="L69" s="1245"/>
      <c r="M69" s="294" t="e">
        <f>ROUND(SUM(M63:M68),0)</f>
        <v>#VALUE!</v>
      </c>
      <c r="N69" s="2330" t="e">
        <f>M69/M49</f>
        <v>#VALUE!</v>
      </c>
      <c r="Z69" s="1623"/>
      <c r="AI69" s="1561"/>
    </row>
    <row r="70" spans="1:35" s="642" customFormat="1" ht="15" thickBot="1">
      <c r="A70" s="3325" t="s">
        <v>1394</v>
      </c>
      <c r="B70" s="3326"/>
      <c r="C70" s="3326"/>
      <c r="D70" s="3326"/>
      <c r="E70" s="3326"/>
      <c r="F70" s="3326"/>
      <c r="G70" s="3326"/>
      <c r="H70" s="332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25">
      <c r="A71" s="3317" t="s">
        <v>1375</v>
      </c>
      <c r="B71" s="3318"/>
      <c r="C71" s="1863"/>
      <c r="D71" s="1863"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25">
      <c r="A72" s="165" t="s">
        <v>330</v>
      </c>
      <c r="B72" s="166" t="s">
        <v>1395</v>
      </c>
      <c r="C72" s="2352" t="e">
        <f ca="1">ROUND(D45/(1+'数据-取费表'!C42),0)</f>
        <v>#REF!</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25">
      <c r="A73" s="165" t="s">
        <v>327</v>
      </c>
      <c r="B73" s="155" t="s">
        <v>1396</v>
      </c>
      <c r="C73" s="2352" t="e">
        <f ca="1">C74+C78</f>
        <v>#REF!</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25">
      <c r="A75" s="161" t="s">
        <v>331</v>
      </c>
      <c r="B75" s="162" t="s">
        <v>1398</v>
      </c>
      <c r="C75" s="2355"/>
      <c r="D75" s="162" t="s">
        <v>26</v>
      </c>
      <c r="E75" s="176" t="s">
        <v>1399</v>
      </c>
      <c r="F75" s="2356"/>
      <c r="G75" s="176" t="s">
        <v>1400</v>
      </c>
      <c r="H75" s="2357"/>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8">
        <v>0.05</v>
      </c>
      <c r="E76" s="3322" t="s">
        <v>1402</v>
      </c>
      <c r="F76" s="3321"/>
      <c r="G76" s="3321"/>
      <c r="H76" s="332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59">
        <f>'数据-取费表'!B48+'数据-取费表'!B49</f>
        <v>3.0499999999999999E-2</v>
      </c>
      <c r="E77" s="12" t="s">
        <v>1404</v>
      </c>
      <c r="F77" s="178"/>
      <c r="G77" s="1682"/>
      <c r="H77" s="2149"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0" t="e">
        <f ca="1">ROUND(D45*D78/(1+'数据-取费表'!C42),0)</f>
        <v>#REF!</v>
      </c>
      <c r="D78" s="2361">
        <f>'数据-取费表'!B43</f>
        <v>6.000000000000001E-3</v>
      </c>
      <c r="E78" s="3314" t="s">
        <v>1406</v>
      </c>
      <c r="F78" s="3315"/>
      <c r="G78" s="3315"/>
      <c r="H78" s="3316"/>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25">
      <c r="A79" s="165" t="s">
        <v>334</v>
      </c>
      <c r="B79" s="166" t="s">
        <v>1407</v>
      </c>
      <c r="C79" s="2352" t="e">
        <f ca="1">C72-C73</f>
        <v>#REF!</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2" t="e">
        <f ca="1">IF(C79&lt;=0,0,C79/C73)</f>
        <v>#REF!</v>
      </c>
      <c r="D80" s="162" t="s">
        <v>26</v>
      </c>
      <c r="E80" s="12" t="e">
        <f ca="1">IF(C80&gt;=200%,"增值额超过扣除项目金额200%",IF(C80&gt;=100%,"增值额超过扣除项目金额100%，未超过200%",IF(C80&gt;=50%,"增值额超过扣除项目金额50%，未超过100%",IF(C80&lt;50%,"增值额未超过扣除项目金额50%"))))</f>
        <v>#REF!</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75" thickBot="1">
      <c r="A81" s="168" t="s">
        <v>336</v>
      </c>
      <c r="B81" s="169" t="s">
        <v>1409</v>
      </c>
      <c r="C81" s="2363" t="e">
        <f ca="1">ROUND(IF(C79&lt;=0,0,IF(C80&gt;=200%,C79*60%-C73*35%,IF(C80&gt;=100%,C79*50%-C73*15%,IF(C80&gt;=50%,C79*40%-C73*5%,IF(C80&lt;50%,C79*30%,0))))),0)</f>
        <v>#REF!</v>
      </c>
      <c r="D81" s="2364" t="s">
        <v>26</v>
      </c>
      <c r="E81" s="18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5" thickBot="1">
      <c r="A83" s="3325" t="s">
        <v>1410</v>
      </c>
      <c r="B83" s="3326"/>
      <c r="C83" s="3326"/>
      <c r="D83" s="3326"/>
      <c r="E83" s="3326"/>
      <c r="F83" s="3326"/>
      <c r="G83" s="3326"/>
      <c r="H83" s="332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25">
      <c r="A84" s="3317" t="s">
        <v>1375</v>
      </c>
      <c r="B84" s="3318"/>
      <c r="C84" s="1863"/>
      <c r="D84" s="1863"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25">
      <c r="A85" s="165" t="s">
        <v>330</v>
      </c>
      <c r="B85" s="166" t="s">
        <v>1395</v>
      </c>
      <c r="C85" s="2352" t="e">
        <f ca="1">ROUND(D45/(1+'数据-取费表'!C42),0)</f>
        <v>#REF!</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25">
      <c r="A86" s="165" t="s">
        <v>327</v>
      </c>
      <c r="B86" s="155" t="s">
        <v>1396</v>
      </c>
      <c r="C86" s="2352" t="e">
        <f ca="1">IF(H88="仅含出让金",C87+C90+C91+C92+C93+C94,C87+C91+C92+C93+C94)</f>
        <v>#REF!</v>
      </c>
      <c r="D86" s="2365"/>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25">
      <c r="A87" s="161" t="s">
        <v>325</v>
      </c>
      <c r="B87" s="162" t="s">
        <v>1411</v>
      </c>
      <c r="C87" s="2360">
        <f>C88+C89</f>
        <v>0</v>
      </c>
      <c r="D87" s="2361"/>
      <c r="E87" s="2145"/>
      <c r="F87" s="2146"/>
      <c r="G87" s="2146"/>
      <c r="H87" s="2147"/>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25">
      <c r="A88" s="161" t="s">
        <v>331</v>
      </c>
      <c r="B88" s="162" t="s">
        <v>1412</v>
      </c>
      <c r="C88" s="2366"/>
      <c r="D88" s="2361"/>
      <c r="E88" s="185" t="s">
        <v>1413</v>
      </c>
      <c r="F88" s="2146"/>
      <c r="G88" s="186" t="s">
        <v>1414</v>
      </c>
      <c r="H88" s="1684"/>
      <c r="I88" s="1681"/>
      <c r="J88" s="2306"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25">
      <c r="A89" s="161" t="s">
        <v>332</v>
      </c>
      <c r="B89" s="162" t="s">
        <v>1403</v>
      </c>
      <c r="C89" s="2360">
        <f>ROUND(C88*D89,0)</f>
        <v>0</v>
      </c>
      <c r="D89" s="2361">
        <f>'数据-取费表'!B48+'数据-取费表'!B49</f>
        <v>3.0499999999999999E-2</v>
      </c>
      <c r="E89" s="185" t="s">
        <v>1415</v>
      </c>
      <c r="F89" s="2146"/>
      <c r="G89" s="2146"/>
      <c r="H89" s="2147"/>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25">
      <c r="A90" s="161" t="s">
        <v>326</v>
      </c>
      <c r="B90" s="162" t="s">
        <v>1416</v>
      </c>
      <c r="C90" s="2366"/>
      <c r="D90" s="2361"/>
      <c r="E90" s="185" t="str">
        <f>IF(H88="-","土地取得成本中已包含该笔费用"," ")</f>
        <v xml:space="preserve"> </v>
      </c>
      <c r="F90" s="2146"/>
      <c r="G90" s="3283" t="s">
        <v>2129</v>
      </c>
      <c r="H90" s="3284"/>
      <c r="I90" s="1681"/>
      <c r="J90" s="2306"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0">
        <f>IF(H91="——",成本法!C33,I91)</f>
        <v>0</v>
      </c>
      <c r="D91" s="2361"/>
      <c r="E91" s="3314" t="s">
        <v>1419</v>
      </c>
      <c r="F91" s="3315"/>
      <c r="G91" s="3315"/>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0">
        <f>ROUND((C87+C90+C91)*D92,0)</f>
        <v>0</v>
      </c>
      <c r="D92" s="2367"/>
      <c r="E92" s="3314" t="s">
        <v>1422</v>
      </c>
      <c r="F92" s="3315"/>
      <c r="G92" s="3315"/>
      <c r="H92" s="3316"/>
      <c r="I92" s="1681"/>
      <c r="J92" s="2307"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0" t="e">
        <f ca="1">ROUND(D45*D93/(1+'数据-取费表'!C42),0)</f>
        <v>#REF!</v>
      </c>
      <c r="D93" s="2361">
        <f>'数据-取费表'!B43</f>
        <v>6.000000000000001E-3</v>
      </c>
      <c r="E93" s="3314" t="s">
        <v>1406</v>
      </c>
      <c r="F93" s="3315"/>
      <c r="G93" s="3315"/>
      <c r="H93" s="3316"/>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6">
        <f>ROUND((C87+C90+C91)*D94,0)</f>
        <v>0</v>
      </c>
      <c r="D94" s="2361">
        <v>0.2</v>
      </c>
      <c r="E94" s="3359" t="s">
        <v>1426</v>
      </c>
      <c r="F94" s="3360"/>
      <c r="G94" s="3360"/>
      <c r="H94" s="3361"/>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25">
      <c r="A95" s="165" t="s">
        <v>334</v>
      </c>
      <c r="B95" s="166" t="s">
        <v>1407</v>
      </c>
      <c r="C95" s="2352" t="e">
        <f ca="1">ROUND(C85-C86,0)</f>
        <v>#REF!</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2" t="e">
        <f ca="1">IF(C95&lt;=0,0,C95/C86)</f>
        <v>#REF!</v>
      </c>
      <c r="D96" s="162" t="s">
        <v>26</v>
      </c>
      <c r="E96" s="12" t="e">
        <f ca="1">IF(C96&gt;=200%,"增值额超过扣除项目金额200%",IF(C96&gt;=100%,"增值额超过扣除项目金额100%，未超过200%",IF(C96&gt;=50%,"增值额超过扣除项目金额50%，未超过100%",IF(C96&lt;50%,"增值额未超过扣除项目金额50%"))))</f>
        <v>#REF!</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75" thickBot="1">
      <c r="A97" s="168" t="s">
        <v>336</v>
      </c>
      <c r="B97" s="169" t="s">
        <v>1409</v>
      </c>
      <c r="C97" s="2363" t="e">
        <f ca="1">ROUND(IF(C95&lt;=0,0,IF(C96&gt;=200%,C95*60%-C86*35%,IF(C96&gt;=100%,C95*50%-C86*15%,IF(C96&gt;=50%,C95*40%-C86*5%,IF(C96&lt;50%,C95*30%,0))))),0)</f>
        <v>#REF!</v>
      </c>
      <c r="D97" s="2364" t="s">
        <v>26</v>
      </c>
      <c r="E97" s="18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4" t="s">
        <v>1428</v>
      </c>
      <c r="B100" s="3265"/>
      <c r="C100" s="3265"/>
      <c r="D100" s="3299"/>
      <c r="E100" s="3265" t="s">
        <v>1429</v>
      </c>
      <c r="F100" s="3265"/>
      <c r="G100" s="3265"/>
      <c r="H100" s="3299"/>
      <c r="I100" s="121"/>
    </row>
    <row r="101" spans="1:35" ht="18.75" customHeight="1">
      <c r="A101" s="3307" t="s">
        <v>1430</v>
      </c>
      <c r="B101" s="3308"/>
      <c r="C101" s="2369" t="str">
        <f>C4</f>
        <v>比较法-住宅</v>
      </c>
      <c r="D101" s="2370" t="str">
        <f>D4</f>
        <v>收益法 (元)</v>
      </c>
      <c r="E101" s="3277" t="s">
        <v>1431</v>
      </c>
      <c r="F101" s="3278"/>
      <c r="G101" s="1687" t="s">
        <v>1432</v>
      </c>
      <c r="H101" s="2379" t="e">
        <f ca="1">H118</f>
        <v>#REF!</v>
      </c>
      <c r="I101" s="121"/>
    </row>
    <row r="102" spans="1:35" ht="18.75" customHeight="1">
      <c r="A102" s="3309" t="s">
        <v>1433</v>
      </c>
      <c r="B102" s="2368" t="s">
        <v>1432</v>
      </c>
      <c r="C102" s="2369">
        <f ca="1">IF(D32="楼面单价",ROUND(C19,0),C19)</f>
        <v>129.5686</v>
      </c>
      <c r="D102" s="2370">
        <f ca="1">IF(D32="楼面单价",ROUND(D19,0),D19)</f>
        <v>65.195599999999999</v>
      </c>
      <c r="E102" s="3277"/>
      <c r="F102" s="3278"/>
      <c r="G102" s="1687" t="s">
        <v>1434</v>
      </c>
      <c r="H102" s="2339" t="e">
        <f ca="1">I118</f>
        <v>#REF!</v>
      </c>
      <c r="I102" s="121"/>
    </row>
    <row r="103" spans="1:35" ht="42.75" customHeight="1">
      <c r="A103" s="3309"/>
      <c r="B103" s="2368" t="s">
        <v>1434</v>
      </c>
      <c r="C103" s="2371">
        <f ca="1">C20</f>
        <v>39575</v>
      </c>
      <c r="D103" s="2372">
        <f ca="1">D20</f>
        <v>19913</v>
      </c>
      <c r="E103" s="3270" t="s">
        <v>1435</v>
      </c>
      <c r="F103" s="3271"/>
      <c r="G103" s="1688" t="s">
        <v>1436</v>
      </c>
      <c r="H103" s="2379">
        <f>IF(D36="正常操作",H104+H105+H106,H105+H106)</f>
        <v>0</v>
      </c>
      <c r="I103" s="121"/>
    </row>
    <row r="104" spans="1:35" ht="18.75" customHeight="1">
      <c r="A104" s="3309" t="s">
        <v>1437</v>
      </c>
      <c r="B104" s="2373" t="s">
        <v>1432</v>
      </c>
      <c r="C104" s="2374" t="e">
        <f ca="1">H118</f>
        <v>#REF!</v>
      </c>
      <c r="D104" s="2375"/>
      <c r="E104" s="1555" t="s">
        <v>1438</v>
      </c>
      <c r="F104" s="1548"/>
      <c r="G104" s="1688" t="s">
        <v>1436</v>
      </c>
      <c r="H104" s="2380">
        <f>IF(D36="同一抵押权人同一抵押物续贷",C36&amp;"（续贷，未扣减，详见特别提示）",C36)</f>
        <v>0</v>
      </c>
      <c r="I104" s="121"/>
    </row>
    <row r="105" spans="1:35" ht="18.75" customHeight="1" thickBot="1">
      <c r="A105" s="3319"/>
      <c r="B105" s="2376" t="s">
        <v>1434</v>
      </c>
      <c r="C105" s="2377" t="e">
        <f ca="1">I118</f>
        <v>#REF!</v>
      </c>
      <c r="D105" s="2378"/>
      <c r="E105" s="1555" t="s">
        <v>1439</v>
      </c>
      <c r="F105" s="1548"/>
      <c r="G105" s="1688" t="s">
        <v>1436</v>
      </c>
      <c r="H105" s="2381">
        <f>C37</f>
        <v>0</v>
      </c>
      <c r="I105" s="121"/>
    </row>
    <row r="106" spans="1:35" ht="18.75" customHeight="1">
      <c r="A106" s="646" t="s">
        <v>1440</v>
      </c>
      <c r="B106" s="646"/>
      <c r="C106" s="646"/>
      <c r="D106" s="646"/>
      <c r="E106" s="1689" t="s">
        <v>1441</v>
      </c>
      <c r="F106" s="1548"/>
      <c r="G106" s="1688" t="s">
        <v>1436</v>
      </c>
      <c r="H106" s="2381">
        <f>C38</f>
        <v>0</v>
      </c>
      <c r="I106" s="121"/>
    </row>
    <row r="107" spans="1:35" ht="18.75" customHeight="1">
      <c r="A107" s="121"/>
      <c r="B107" s="121"/>
      <c r="C107" s="121"/>
      <c r="D107" s="121"/>
      <c r="E107" s="3310" t="str">
        <f>IF(项目基本情况!E8="已注销","——","3.房地产抵押价值")</f>
        <v>3.房地产抵押价值</v>
      </c>
      <c r="F107" s="3278"/>
      <c r="G107" s="1687" t="s">
        <v>1432</v>
      </c>
      <c r="H107" s="2379" t="e">
        <f ca="1">IF(E107="——","——",H101-H103)</f>
        <v>#REF!</v>
      </c>
      <c r="I107" s="121"/>
    </row>
    <row r="108" spans="1:35" ht="18.75" customHeight="1">
      <c r="A108" s="121"/>
      <c r="B108" s="121"/>
      <c r="C108" s="121"/>
      <c r="D108" s="121"/>
      <c r="E108" s="3310"/>
      <c r="F108" s="3278"/>
      <c r="G108" s="1687" t="s">
        <v>1434</v>
      </c>
      <c r="H108" s="2339">
        <f ca="1">IF(H107=H101,H102,ROUND(H107*10000/'数据-汇总表'!E3,0))</f>
        <v>0</v>
      </c>
      <c r="I108" s="121"/>
    </row>
    <row r="109" spans="1:35" ht="18.75" customHeight="1">
      <c r="A109" s="121"/>
      <c r="B109" s="121"/>
      <c r="C109" s="121"/>
      <c r="D109" s="121"/>
      <c r="E109" s="3310" t="str">
        <f>IF(项目基本情况!E8="已注销及未注销","4.抵押担保权已注销时的房地产抵押价值",IF(项目基本情况!E8="已注销","3.抵押担保权已注销时的房地产抵押价值","——"))</f>
        <v>——</v>
      </c>
      <c r="F109" s="3278"/>
      <c r="G109" s="1687" t="s">
        <v>1432</v>
      </c>
      <c r="H109" s="2382" t="str">
        <f>IF(E109="——","——",H101-H105-H106)</f>
        <v>——</v>
      </c>
      <c r="I109" s="121"/>
    </row>
    <row r="110" spans="1:35" ht="18.75" customHeight="1">
      <c r="A110" s="121"/>
      <c r="B110" s="121"/>
      <c r="C110" s="121"/>
      <c r="D110" s="121"/>
      <c r="E110" s="3310"/>
      <c r="F110" s="3278"/>
      <c r="G110" s="1687" t="s">
        <v>1434</v>
      </c>
      <c r="H110" s="2339" t="str">
        <f>IF(H109="——","——",ROUND(H109*10000/'数据-汇总表'!E3,0))</f>
        <v>——</v>
      </c>
      <c r="I110" s="121"/>
    </row>
    <row r="111" spans="1:35" ht="18.75" customHeight="1">
      <c r="A111" s="121"/>
      <c r="B111" s="121"/>
      <c r="C111" s="121"/>
      <c r="D111" s="121"/>
      <c r="E111" s="3311" t="str">
        <f>IF(项目基本情况!E9="抵押净值",IF(OR(项目基本情况!E8="已注销",项目基本情况!E8="房地产抵押价值"),"4.抵押净值","5.抵押净值"),"——")</f>
        <v>——</v>
      </c>
      <c r="F111" s="3297"/>
      <c r="G111" s="1687" t="s">
        <v>1432</v>
      </c>
      <c r="H111" s="2379" t="str">
        <f>IF(E111="——","——",N59)</f>
        <v>——</v>
      </c>
      <c r="I111" s="121"/>
    </row>
    <row r="112" spans="1:35" ht="18.75" customHeight="1" thickBot="1">
      <c r="A112" s="121"/>
      <c r="B112" s="121"/>
      <c r="C112" s="121"/>
      <c r="D112" s="121"/>
      <c r="E112" s="3312"/>
      <c r="F112" s="3313"/>
      <c r="G112" s="1690" t="s">
        <v>1434</v>
      </c>
      <c r="H112" s="2383" t="str">
        <f>IF(E111="——","——",N61)</f>
        <v>——</v>
      </c>
      <c r="I112" s="121"/>
    </row>
    <row r="113" spans="1:27" ht="18.75" customHeight="1">
      <c r="A113" s="121"/>
      <c r="B113" s="121"/>
      <c r="C113" s="121"/>
      <c r="D113" s="121"/>
      <c r="E113" s="3320" t="s">
        <v>1440</v>
      </c>
      <c r="F113" s="3320"/>
      <c r="G113" s="3320"/>
      <c r="H113" s="3320"/>
      <c r="I113" s="121"/>
    </row>
    <row r="114" spans="1:27" ht="3.75" customHeight="1">
      <c r="A114" s="646"/>
      <c r="B114" s="646"/>
      <c r="C114" s="646"/>
      <c r="D114" s="646"/>
      <c r="E114" s="1671"/>
      <c r="F114" s="1671"/>
      <c r="G114" s="1671"/>
      <c r="H114" s="1671"/>
      <c r="I114" s="646"/>
    </row>
    <row r="115" spans="1:27" ht="18.75" customHeight="1">
      <c r="A115" s="3328" t="s">
        <v>1442</v>
      </c>
      <c r="B115" s="3329"/>
      <c r="C115" s="3329"/>
      <c r="D115" s="3329"/>
      <c r="E115" s="3329"/>
      <c r="F115" s="3329"/>
      <c r="G115" s="3329"/>
      <c r="H115" s="3329"/>
      <c r="I115" s="3330"/>
    </row>
    <row r="116" spans="1:27" ht="27" customHeight="1">
      <c r="A116" s="3285" t="s">
        <v>1443</v>
      </c>
      <c r="B116" s="3289" t="s">
        <v>1444</v>
      </c>
      <c r="C116" s="3289" t="s">
        <v>1445</v>
      </c>
      <c r="D116" s="3295" t="s">
        <v>1446</v>
      </c>
      <c r="E116" s="3296"/>
      <c r="F116" s="3327" t="s">
        <v>1447</v>
      </c>
      <c r="G116" s="3327"/>
      <c r="H116" s="3285" t="s">
        <v>1448</v>
      </c>
      <c r="I116" s="3285"/>
    </row>
    <row r="117" spans="1:27" ht="18.75" customHeight="1">
      <c r="A117" s="3285"/>
      <c r="B117" s="3290"/>
      <c r="C117" s="3290"/>
      <c r="D117" s="2148" t="s">
        <v>1449</v>
      </c>
      <c r="E117" s="2148" t="s">
        <v>1450</v>
      </c>
      <c r="F117" s="2148" t="s">
        <v>1449</v>
      </c>
      <c r="G117" s="2148" t="s">
        <v>1451</v>
      </c>
      <c r="H117" s="2148" t="s">
        <v>1449</v>
      </c>
      <c r="I117" s="2148" t="s">
        <v>1451</v>
      </c>
    </row>
    <row r="118" spans="1:27" ht="24.75" customHeight="1">
      <c r="A118" s="2384" t="str">
        <f>项目基本情况!S2</f>
        <v>北京市房地产</v>
      </c>
      <c r="B118" s="2148">
        <f>M18</f>
        <v>32.74</v>
      </c>
      <c r="C118" s="2148">
        <f>M19</f>
        <v>0</v>
      </c>
      <c r="D118" s="2148" t="e">
        <f ca="1">ROUND(IF(D32="总价",C34,E118*B118/10000),0)</f>
        <v>#REF!</v>
      </c>
      <c r="E118" s="2148" t="e">
        <f ca="1">ROUND(IF(C33="自定义",IF(D32="楼面单价",C34,D118*10000/B118),I118-G118),0)</f>
        <v>#REF!</v>
      </c>
      <c r="F118" s="2148" t="e">
        <f ca="1">ROUND(IF(D32="总价",C35,G118*B118/10000),0)</f>
        <v>#REF!</v>
      </c>
      <c r="G118" s="2148" t="e">
        <f ca="1">ROUND(IF(D32="楼面单价",C35,F118*10000/B118),0)</f>
        <v>#REF!</v>
      </c>
      <c r="H118" s="2148" t="e">
        <f ca="1">ROUND(IF(D32="总价",C32,I118*B118/10000),0)</f>
        <v>#REF!</v>
      </c>
      <c r="I118" s="2148" t="e">
        <f ca="1">ROUND(IF(D32="楼面单价",C32,H118*10000/B118),0)</f>
        <v>#REF!</v>
      </c>
    </row>
    <row r="119" spans="1:27" ht="18.75" customHeight="1">
      <c r="A119" s="3285" t="s">
        <v>1452</v>
      </c>
      <c r="B119" s="3285"/>
      <c r="C119" s="3285"/>
      <c r="D119" s="3291" t="e">
        <f ca="1">NUMBERSTRING(INT(D118*10000),2)&amp;"元整"</f>
        <v>#REF!</v>
      </c>
      <c r="E119" s="3292"/>
      <c r="F119" s="3291" t="e">
        <f ca="1">NUMBERSTRING(INT(F118*10000),2)&amp;"元整"</f>
        <v>#REF!</v>
      </c>
      <c r="G119" s="3292"/>
      <c r="H119" s="3291" t="e">
        <f ca="1">NUMBERSTRING(INT(H118*10000),2)&amp;"元整"</f>
        <v>#REF!</v>
      </c>
      <c r="I119" s="3292"/>
    </row>
    <row r="120" spans="1:27" ht="18.75" customHeight="1">
      <c r="A120" s="3286" t="str">
        <f>IF(项目基本情况!B9="房地产市场价值","",MID(E103,3,LEN(E103)-2))</f>
        <v/>
      </c>
      <c r="B120" s="3287"/>
      <c r="C120" s="3288"/>
      <c r="D120" s="3286">
        <f>H103</f>
        <v>0</v>
      </c>
      <c r="E120" s="3287"/>
      <c r="F120" s="3287"/>
      <c r="G120" s="3287"/>
      <c r="H120" s="3287"/>
      <c r="I120" s="3288"/>
      <c r="J120" s="1623"/>
      <c r="K120" s="1623" t="str">
        <f>IF(D120=0,"故，本次评估不存在"&amp;A120,"故，本次评估"&amp;A120&amp;"为人民币"&amp;D120&amp;"万元整。")</f>
        <v>故，本次评估不存在</v>
      </c>
      <c r="L120" s="1623"/>
      <c r="M120" s="1623"/>
      <c r="N120" s="1623"/>
      <c r="O120" s="1623"/>
      <c r="P120" s="1623"/>
      <c r="Q120" s="1623"/>
      <c r="R120" s="1623"/>
      <c r="S120" s="1623"/>
    </row>
    <row r="121" spans="1:27" ht="18.75" customHeight="1">
      <c r="A121" s="3291" t="s">
        <v>1452</v>
      </c>
      <c r="B121" s="3293"/>
      <c r="C121" s="3292"/>
      <c r="D121" s="3291" t="str">
        <f>IF(D120=0,"零元整",NUMBERSTRING(INT(D120*10000),2)&amp;"元整")</f>
        <v>零元整</v>
      </c>
      <c r="E121" s="3293"/>
      <c r="F121" s="3293"/>
      <c r="G121" s="3293"/>
      <c r="H121" s="3293"/>
      <c r="I121" s="3292"/>
      <c r="AA121" s="684"/>
    </row>
    <row r="122" spans="1:27" ht="18.75" customHeight="1">
      <c r="A122" s="3297" t="str">
        <f>IF(项目基本情况!B9="房地产市场价值","",MID(E107,3,LEN(E107)-2))</f>
        <v/>
      </c>
      <c r="B122" s="3297"/>
      <c r="C122" s="3297"/>
      <c r="D122" s="3286" t="e">
        <f ca="1">H107</f>
        <v>#REF!</v>
      </c>
      <c r="E122" s="3287"/>
      <c r="F122" s="3287"/>
      <c r="G122" s="3287"/>
      <c r="H122" s="3287"/>
      <c r="I122" s="3288"/>
      <c r="AA122" s="684"/>
    </row>
    <row r="123" spans="1:27" ht="18.75" customHeight="1">
      <c r="A123" s="3285" t="s">
        <v>1452</v>
      </c>
      <c r="B123" s="3285"/>
      <c r="C123" s="3285"/>
      <c r="D123" s="3291" t="e">
        <f ca="1">NUMBERSTRING(INT(D122*10000),2)&amp;"元整"</f>
        <v>#REF!</v>
      </c>
      <c r="E123" s="3293"/>
      <c r="F123" s="3293"/>
      <c r="G123" s="3293"/>
      <c r="H123" s="3293"/>
      <c r="I123" s="3292"/>
      <c r="AA123" s="684"/>
    </row>
    <row r="124" spans="1:27" ht="18.75" customHeight="1">
      <c r="A124" s="3297" t="str">
        <f>IF(项目基本情况!B9="房地产市场价值","",MID(E109,3,LEN(E109)-2))</f>
        <v/>
      </c>
      <c r="B124" s="3297"/>
      <c r="C124" s="3297"/>
      <c r="D124" s="3286" t="str">
        <f>H109</f>
        <v>——</v>
      </c>
      <c r="E124" s="3287"/>
      <c r="F124" s="3287"/>
      <c r="G124" s="3287"/>
      <c r="H124" s="3287"/>
      <c r="I124" s="3288"/>
      <c r="AA124" s="684"/>
    </row>
    <row r="125" spans="1:27" ht="18.75" customHeight="1">
      <c r="A125" s="3285" t="s">
        <v>1452</v>
      </c>
      <c r="B125" s="3285"/>
      <c r="C125" s="3285"/>
      <c r="D125" s="3291" t="e">
        <f>NUMBERSTRING(INT(D124*10000),2)&amp;"元整"</f>
        <v>#VALUE!</v>
      </c>
      <c r="E125" s="3293"/>
      <c r="F125" s="3293"/>
      <c r="G125" s="3293"/>
      <c r="H125" s="3293"/>
      <c r="I125" s="3292"/>
      <c r="AA125" s="684"/>
    </row>
    <row r="126" spans="1:27" ht="18.75" customHeight="1">
      <c r="A126" s="3297" t="str">
        <f>IF(项目基本情况!B9="房地产市场价值","",MID(E111,3,LEN(E111)-2))</f>
        <v/>
      </c>
      <c r="B126" s="3297"/>
      <c r="C126" s="3297"/>
      <c r="D126" s="3286" t="str">
        <f>H111</f>
        <v>——</v>
      </c>
      <c r="E126" s="3287"/>
      <c r="F126" s="3287"/>
      <c r="G126" s="3287"/>
      <c r="H126" s="3287"/>
      <c r="I126" s="3288"/>
      <c r="AA126" s="684"/>
    </row>
    <row r="127" spans="1:27" ht="18.75" customHeight="1">
      <c r="A127" s="3285" t="s">
        <v>1452</v>
      </c>
      <c r="B127" s="3285"/>
      <c r="C127" s="3285"/>
      <c r="D127" s="3291" t="e">
        <f>NUMBERSTRING(INT(D126*10000),2)&amp;"元整"</f>
        <v>#VALUE!</v>
      </c>
      <c r="E127" s="3293"/>
      <c r="F127" s="3293"/>
      <c r="G127" s="3293"/>
      <c r="H127" s="3293"/>
      <c r="I127" s="3292"/>
      <c r="AA127" s="684"/>
    </row>
    <row r="128" spans="1:27" ht="21.75" customHeight="1">
      <c r="A128" s="3294" t="s">
        <v>1453</v>
      </c>
      <c r="B128" s="3294"/>
      <c r="C128" s="3294"/>
      <c r="D128" s="3294"/>
      <c r="E128" s="3294"/>
      <c r="F128" s="3294"/>
      <c r="G128" s="3294"/>
      <c r="H128" s="3294"/>
      <c r="I128" s="329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C5:D7">
    <cfRule type="cellIs" dxfId="149" priority="10" stopIfTrue="1" operator="equal">
      <formula>25</formula>
    </cfRule>
  </conditionalFormatting>
  <conditionalFormatting sqref="C8:D13">
    <cfRule type="cellIs" dxfId="148" priority="8" stopIfTrue="1" operator="equal">
      <formula>15</formula>
    </cfRule>
  </conditionalFormatting>
  <conditionalFormatting sqref="C14:D16">
    <cfRule type="cellIs" dxfId="147" priority="6" stopIfTrue="1" operator="equal">
      <formula>30</formula>
    </cfRule>
  </conditionalFormatting>
  <conditionalFormatting sqref="E36">
    <cfRule type="expression" dxfId="146"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4"/>
      <c r="C1" s="190"/>
      <c r="D1" s="190"/>
      <c r="E1" s="190"/>
      <c r="F1" s="190"/>
      <c r="G1" s="1062">
        <f>MATCH(B1,'数据-取费表'!A6:A16,0)+5</f>
        <v>7</v>
      </c>
    </row>
    <row r="2" spans="1:9" s="192" customFormat="1" ht="18" customHeight="1">
      <c r="A2" s="193" t="s">
        <v>1462</v>
      </c>
      <c r="B2" s="194">
        <f ca="1">IF(D2="——",C52,C52-E2)</f>
        <v>13</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3971</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32.74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32.74</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0.01</v>
      </c>
      <c r="D21" s="228" t="s">
        <v>1498</v>
      </c>
      <c r="E21" s="224"/>
      <c r="F21" s="225">
        <f>'数据-取费表'!B38</f>
        <v>0.01</v>
      </c>
      <c r="G21" s="226" t="s">
        <v>1499</v>
      </c>
    </row>
    <row r="22" spans="1:7" s="206" customFormat="1" ht="13.5" customHeight="1">
      <c r="A22" s="247" t="s">
        <v>1500</v>
      </c>
      <c r="B22" s="202" t="s">
        <v>1501</v>
      </c>
      <c r="C22" s="1041">
        <f ca="1">ROUND(SUM(C23:C25),0)</f>
        <v>0</v>
      </c>
      <c r="D22" s="227">
        <f ca="1">C26</f>
        <v>2.9999999999999997E-4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2.9999999999999997E-4</v>
      </c>
      <c r="D26" s="230"/>
      <c r="E26" s="233"/>
      <c r="F26" s="231"/>
      <c r="G26" s="235"/>
    </row>
    <row r="27" spans="1:7" s="206" customFormat="1" ht="24.75">
      <c r="A27" s="247" t="s">
        <v>1512</v>
      </c>
      <c r="B27" s="236" t="s">
        <v>1513</v>
      </c>
      <c r="C27" s="237">
        <f ca="1">C28</f>
        <v>0</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13</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11</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32.74</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0</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0</v>
      </c>
      <c r="D42" s="230"/>
      <c r="E42" s="230"/>
      <c r="F42" s="231"/>
      <c r="G42" s="3364" t="s">
        <v>1544</v>
      </c>
    </row>
    <row r="43" spans="1:7" ht="13.5" customHeight="1">
      <c r="A43" s="734" t="s">
        <v>347</v>
      </c>
      <c r="B43" s="207" t="s">
        <v>1545</v>
      </c>
      <c r="C43" s="230">
        <f ca="1">ROUND(IF('数据-取费表'!B22&lt;=1,C39*F22*'数据-取费表'!B21/2,C39*(POWER((1+F22),'数据-取费表'!B21/2)-1)),0)</f>
        <v>0</v>
      </c>
      <c r="D43" s="230"/>
      <c r="E43" s="230"/>
      <c r="F43" s="231"/>
      <c r="G43" s="3365"/>
    </row>
    <row r="44" spans="1:7" ht="13.5" customHeight="1">
      <c r="A44" s="734" t="s">
        <v>348</v>
      </c>
      <c r="B44" s="207" t="s">
        <v>1546</v>
      </c>
      <c r="C44" s="230">
        <f ca="1">ROUND(IF('数据-取费表'!B22&lt;=1,C40*F22*'数据-取费表'!B21/2,C40*(POWER((1+F22),'数据-取费表'!B21/2)-1)),4)</f>
        <v>2.9999999999999997E-4</v>
      </c>
      <c r="D44" s="230"/>
      <c r="E44" s="230"/>
      <c r="F44" s="231"/>
      <c r="G44" s="3366"/>
    </row>
    <row r="45" spans="1:7" s="206" customFormat="1" ht="13.5" customHeight="1">
      <c r="A45" s="247" t="s">
        <v>1547</v>
      </c>
      <c r="B45" s="236" t="s">
        <v>1513</v>
      </c>
      <c r="C45" s="237">
        <f ca="1">C46</f>
        <v>1</v>
      </c>
      <c r="D45" s="227">
        <f ca="1">C47</f>
        <v>1E-3</v>
      </c>
      <c r="E45" s="228" t="s">
        <v>1539</v>
      </c>
      <c r="F45" s="238">
        <f ca="1">F27</f>
        <v>0.1</v>
      </c>
      <c r="G45" s="239" t="s">
        <v>1548</v>
      </c>
    </row>
    <row r="46" spans="1:7" s="206" customFormat="1" ht="13.5" customHeight="1">
      <c r="A46" s="734" t="s">
        <v>346</v>
      </c>
      <c r="B46" s="240" t="s">
        <v>1549</v>
      </c>
      <c r="C46" s="241">
        <f ca="1">ROUND((C33+C39)*F27,0)</f>
        <v>1</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15</v>
      </c>
      <c r="D49" s="224"/>
      <c r="E49" s="224"/>
      <c r="F49" s="256"/>
      <c r="G49" s="226" t="s">
        <v>1554</v>
      </c>
    </row>
    <row r="50" spans="1:7" s="250" customFormat="1" ht="24">
      <c r="A50" s="247" t="s">
        <v>1555</v>
      </c>
      <c r="B50" s="202" t="s">
        <v>1556</v>
      </c>
      <c r="C50" s="224"/>
      <c r="D50" s="224"/>
      <c r="E50" s="224"/>
      <c r="F50" s="256">
        <f>IF('数据-取费表'!B24=0,'数据-取费表'!N16,1)</f>
        <v>0.8</v>
      </c>
      <c r="G50" s="239" t="s">
        <v>1557</v>
      </c>
    </row>
    <row r="51" spans="1:7" ht="16.5" customHeight="1">
      <c r="A51" s="247" t="s">
        <v>1558</v>
      </c>
      <c r="B51" s="202" t="s">
        <v>1559</v>
      </c>
      <c r="C51" s="224">
        <f ca="1">ROUND(C49*F50,0)</f>
        <v>12</v>
      </c>
      <c r="D51" s="224"/>
      <c r="E51" s="224"/>
      <c r="F51" s="256"/>
      <c r="G51" s="226" t="s">
        <v>1560</v>
      </c>
    </row>
    <row r="52" spans="1:7" s="200" customFormat="1" ht="16.5" thickBot="1">
      <c r="A52" s="257" t="s">
        <v>1561</v>
      </c>
      <c r="B52" s="258"/>
      <c r="C52" s="259">
        <f ca="1">C31+C51</f>
        <v>13</v>
      </c>
      <c r="D52" s="258"/>
      <c r="E52" s="258"/>
      <c r="F52" s="258"/>
      <c r="G52" s="260"/>
    </row>
    <row r="55" spans="1:7" ht="15">
      <c r="B55" s="262" t="s">
        <v>1562</v>
      </c>
      <c r="C55" s="263"/>
    </row>
    <row r="56" spans="1:7">
      <c r="B56" s="265" t="s">
        <v>802</v>
      </c>
      <c r="C56" s="267">
        <f ca="1">1-C57</f>
        <v>7.6999999999999957E-2</v>
      </c>
    </row>
    <row r="57" spans="1:7">
      <c r="B57" s="265" t="s">
        <v>803</v>
      </c>
      <c r="C57" s="266">
        <f ca="1">ROUND(C51/C52,3)</f>
        <v>0.92300000000000004</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3" customWidth="1"/>
    <col min="2" max="9" width="10" style="793" customWidth="1"/>
    <col min="10" max="16384" width="9" style="793"/>
  </cols>
  <sheetData>
    <row r="36" spans="1:9">
      <c r="A36" s="792" t="s">
        <v>371</v>
      </c>
      <c r="B36" s="792" t="s">
        <v>372</v>
      </c>
    </row>
    <row r="37" spans="1:9" ht="27.75" customHeight="1">
      <c r="A37" s="792"/>
      <c r="B37" s="3182" t="str">
        <f>项目基本情况!B1</f>
        <v>北京市房地产市场价值预评估</v>
      </c>
      <c r="C37" s="3182"/>
      <c r="D37" s="3182"/>
      <c r="E37" s="3182"/>
      <c r="F37" s="3182"/>
      <c r="G37" s="3182"/>
      <c r="H37" s="3182"/>
      <c r="I37" s="3182"/>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2.7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7" customWidth="1"/>
    <col min="2" max="2" width="25.75" style="735" customWidth="1"/>
    <col min="3" max="3" width="10.375" style="774" customWidth="1"/>
    <col min="4" max="4" width="9.875" style="735" customWidth="1"/>
    <col min="5" max="5" width="9.5" style="687" customWidth="1"/>
    <col min="6" max="6" width="10.125" style="735" customWidth="1"/>
    <col min="7" max="7" width="10.75" style="735" customWidth="1"/>
    <col min="8" max="8" width="10" style="735" customWidth="1"/>
    <col min="9" max="11" width="9.5" style="735" customWidth="1"/>
    <col min="12" max="12" width="9" style="735" customWidth="1"/>
    <col min="13" max="13" width="10.5" style="735" bestFit="1" customWidth="1"/>
    <col min="14" max="254" width="9" style="735" customWidth="1"/>
    <col min="255" max="16384" width="6.625" style="735"/>
  </cols>
  <sheetData>
    <row r="1" spans="1:33" ht="20.25">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-305</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5">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32.74</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32.74</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32.74</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0.01</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9" t="s">
        <v>694</v>
      </c>
      <c r="C6" s="1011">
        <f ca="1">ROUND(F6*F8*F7*(1-F9)/10000,0)</f>
        <v>0</v>
      </c>
      <c r="D6" s="147" t="s">
        <v>2109</v>
      </c>
      <c r="E6" s="294" t="s">
        <v>696</v>
      </c>
      <c r="F6" s="295">
        <f ca="1">INDIRECT("'数据-取费表'!u"&amp;$G$1)</f>
        <v>0</v>
      </c>
      <c r="G6" s="1292"/>
      <c r="H6" s="1006" t="s">
        <v>398</v>
      </c>
      <c r="I6" s="3369" t="s">
        <v>694</v>
      </c>
      <c r="J6" s="293">
        <f ca="1">ROUND(M6*M8*M7*(1-M9)/10000,0)</f>
        <v>0</v>
      </c>
      <c r="K6" s="147" t="s">
        <v>2108</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0</v>
      </c>
      <c r="G7" s="1292"/>
      <c r="H7" s="296"/>
      <c r="I7" s="3370"/>
      <c r="J7" s="298"/>
      <c r="K7" s="299"/>
      <c r="L7" s="294" t="s">
        <v>697</v>
      </c>
      <c r="M7" s="295">
        <f ca="1">F7</f>
        <v>0</v>
      </c>
    </row>
    <row r="8" spans="1:37" ht="18" customHeight="1">
      <c r="A8" s="296"/>
      <c r="B8" s="3370"/>
      <c r="C8" s="298"/>
      <c r="D8" s="299"/>
      <c r="E8" s="294" t="s">
        <v>698</v>
      </c>
      <c r="F8" s="295">
        <f ca="1">INDIRECT("'数据-取费表'!ai"&amp;$G$1)</f>
        <v>0</v>
      </c>
      <c r="G8" s="1292"/>
      <c r="H8" s="296"/>
      <c r="I8" s="3370"/>
      <c r="J8" s="298"/>
      <c r="K8" s="299"/>
      <c r="L8" s="294" t="s">
        <v>698</v>
      </c>
      <c r="M8" s="295">
        <f ca="1">INDIRECT("'数据-取费表'!ai"&amp;$G$1)</f>
        <v>0</v>
      </c>
    </row>
    <row r="9" spans="1:37" ht="18" customHeight="1">
      <c r="A9" s="296"/>
      <c r="B9" s="3371"/>
      <c r="C9" s="298"/>
      <c r="D9" s="299"/>
      <c r="E9" s="294" t="s">
        <v>699</v>
      </c>
      <c r="F9" s="304">
        <f ca="1">INDIRECT("'数据-取费表'!w"&amp;$G$1)</f>
        <v>0</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38">
        <f ca="1">ROUND(IF(AND(项目基本情况!B11="自然人",项目基本情况!B10="北京市"),J6*M17/(1+'数据-取费表'!C42),J18+J19+J20),2)</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ROUND(IF(AND(项目基本情况!B11="自然人",项目基本情况!B10="北京市"),C6*F31/(1+'数据-取费表'!C42),C32+C33+C34),2)</f>
        <v>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29"/>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29"/>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29"/>
      <c r="L41" s="121"/>
      <c r="M41" s="121"/>
    </row>
    <row r="42" spans="1:18" ht="18" customHeight="1">
      <c r="A42" s="300"/>
      <c r="B42" s="301"/>
      <c r="C42" s="302"/>
      <c r="D42" s="319"/>
      <c r="E42" s="294" t="s">
        <v>766</v>
      </c>
      <c r="F42" s="304">
        <f ca="1">INDIRECT("'数据-取费表'!v"&amp;$G$1)</f>
        <v>0</v>
      </c>
      <c r="G42" s="1292"/>
      <c r="H42" s="121"/>
      <c r="I42" s="1305"/>
      <c r="J42" s="1306"/>
      <c r="K42" s="2329"/>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5"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28.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4.75" thickBot="1">
      <c r="A53" s="1079" t="s">
        <v>440</v>
      </c>
      <c r="B53" s="1281" t="s">
        <v>700</v>
      </c>
      <c r="C53" s="308">
        <f ca="1">ROUND(IF(F53="押一",C49/12*F11,IF(F53="押二",C49/12*2*F11,IF(F53="押三",C49/12*3*F11,C54*F11))),0)</f>
        <v>0</v>
      </c>
      <c r="D53" s="150" t="s">
        <v>2116</v>
      </c>
      <c r="E53" s="305" t="s">
        <v>701</v>
      </c>
      <c r="F53" s="1053"/>
      <c r="I53" s="1344" t="s">
        <v>836</v>
      </c>
      <c r="J53" s="2004">
        <f ca="1">IF(M47="住宅",IF(D1="——",MAX(J51,L48),MAX(J51,L48-'数据-取费表'!B24)),IF(D1="——",MIN(J51,L48),MIN(J51,L48-'数据-取费表'!B24)))</f>
        <v>0</v>
      </c>
      <c r="K53" s="3367" t="s">
        <v>837</v>
      </c>
      <c r="L53" s="3368"/>
      <c r="O53" s="1325" t="s">
        <v>409</v>
      </c>
      <c r="P53" s="1326" t="s">
        <v>838</v>
      </c>
      <c r="Q53" s="1327" t="e">
        <f ca="1">Q47+Q48</f>
        <v>#DIV/0!</v>
      </c>
      <c r="R53" s="1327" t="s">
        <v>410</v>
      </c>
    </row>
    <row r="54" spans="1:18" s="1292" customFormat="1" ht="13.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25.5"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7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7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0</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5"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1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5"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45" priority="3">
      <formula>$F$10="自定义"</formula>
    </cfRule>
  </conditionalFormatting>
  <conditionalFormatting sqref="C54">
    <cfRule type="expression" dxfId="144" priority="1">
      <formula>$F$53="自定义"</formula>
    </cfRule>
  </conditionalFormatting>
  <conditionalFormatting sqref="I55 I60">
    <cfRule type="expression" dxfId="143" priority="57">
      <formula>$J$51&gt;$L$48</formula>
    </cfRule>
  </conditionalFormatting>
  <conditionalFormatting sqref="J11">
    <cfRule type="expression" dxfId="142" priority="2">
      <formula>$M$10="自定义"</formula>
    </cfRule>
  </conditionalFormatting>
  <conditionalFormatting sqref="K55 K60">
    <cfRule type="expression" dxfId="141"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tabSelected="1" view="pageBreakPreview" topLeftCell="A28" zoomScale="115" zoomScaleNormal="60" zoomScaleSheetLayoutView="115" workbookViewId="0">
      <selection activeCell="I47" sqref="I47"/>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3468</v>
      </c>
      <c r="E1" s="3123" t="s">
        <v>3488</v>
      </c>
      <c r="F1" s="1735" t="s">
        <v>3484</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129.5686</v>
      </c>
      <c r="C2" s="1737" t="s">
        <v>43</v>
      </c>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39575</v>
      </c>
      <c r="C3" s="344" t="s">
        <v>1665</v>
      </c>
      <c r="D3" s="343">
        <f>IF(D1="",'数据-汇总表'!E3,SUMIF('数据-汇总表'!$C19:$C33,D1,'数据-汇总表'!$E19:$E33))</f>
        <v>32.74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12" t="s">
        <v>1667</v>
      </c>
      <c r="D4" s="3413"/>
      <c r="E4" s="3414" t="s">
        <v>1668</v>
      </c>
      <c r="F4" s="3415"/>
      <c r="G4" s="3412" t="s">
        <v>1669</v>
      </c>
      <c r="H4" s="3413"/>
      <c r="I4" s="3412" t="s">
        <v>1670</v>
      </c>
      <c r="J4" s="3413"/>
      <c r="K4" s="1744" t="s">
        <v>1671</v>
      </c>
      <c r="L4" s="2485"/>
      <c r="M4" s="2486"/>
      <c r="N4" s="2486"/>
      <c r="O4" s="2486"/>
      <c r="P4" s="3416" t="s">
        <v>1672</v>
      </c>
      <c r="Q4" s="3417"/>
      <c r="R4" s="3398" t="s">
        <v>1668</v>
      </c>
      <c r="S4" s="3399"/>
      <c r="T4" s="3398" t="s">
        <v>1669</v>
      </c>
      <c r="U4" s="3399"/>
      <c r="V4" s="3424" t="s">
        <v>1670</v>
      </c>
      <c r="W4" s="3424"/>
      <c r="X4" s="1265"/>
      <c r="Y4" s="3398" t="s">
        <v>1672</v>
      </c>
      <c r="Z4" s="3399"/>
      <c r="AA4" s="3393" t="s">
        <v>1668</v>
      </c>
      <c r="AB4" s="3393" t="s">
        <v>1669</v>
      </c>
      <c r="AC4" s="3393" t="s">
        <v>1670</v>
      </c>
    </row>
    <row r="5" spans="1:29" ht="15">
      <c r="A5" s="348"/>
      <c r="B5" s="349"/>
      <c r="C5" s="3404" t="s">
        <v>3478</v>
      </c>
      <c r="D5" s="3405"/>
      <c r="E5" s="3402" t="str">
        <f>C5</f>
        <v>西山国际城</v>
      </c>
      <c r="F5" s="3403"/>
      <c r="G5" s="3408" t="str">
        <f>E5</f>
        <v>西山国际城</v>
      </c>
      <c r="H5" s="3405"/>
      <c r="I5" s="3408" t="str">
        <f>G5</f>
        <v>西山国际城</v>
      </c>
      <c r="J5" s="3405"/>
      <c r="K5" s="1745"/>
      <c r="L5" s="2485"/>
      <c r="M5" s="2486"/>
      <c r="N5" s="2486"/>
      <c r="O5" s="2486"/>
      <c r="P5" s="3418"/>
      <c r="Q5" s="3419"/>
      <c r="R5" s="3400"/>
      <c r="S5" s="3401"/>
      <c r="T5" s="3400"/>
      <c r="U5" s="3401"/>
      <c r="V5" s="3424"/>
      <c r="W5" s="3424"/>
      <c r="X5" s="1265"/>
      <c r="Y5" s="3400"/>
      <c r="Z5" s="3401"/>
      <c r="AA5" s="3394"/>
      <c r="AB5" s="3394"/>
      <c r="AC5" s="3394"/>
    </row>
    <row r="6" spans="1:29" ht="15.75" thickBot="1">
      <c r="A6" s="350"/>
      <c r="B6" s="351"/>
      <c r="C6" s="3406" t="s">
        <v>1677</v>
      </c>
      <c r="D6" s="3407"/>
      <c r="E6" s="3409" t="s">
        <v>1677</v>
      </c>
      <c r="F6" s="3410"/>
      <c r="G6" s="3406" t="s">
        <v>1677</v>
      </c>
      <c r="H6" s="3407"/>
      <c r="I6" s="3406" t="s">
        <v>1677</v>
      </c>
      <c r="J6" s="3407"/>
      <c r="K6" s="1745" t="s">
        <v>1678</v>
      </c>
      <c r="L6" s="2485"/>
      <c r="M6" s="2486"/>
      <c r="N6" s="2486"/>
      <c r="O6" s="2486"/>
      <c r="P6" s="3420"/>
      <c r="Q6" s="3421"/>
      <c r="R6" s="3400"/>
      <c r="S6" s="3401"/>
      <c r="T6" s="3422"/>
      <c r="U6" s="3423"/>
      <c r="V6" s="3424"/>
      <c r="W6" s="3424"/>
      <c r="X6" s="1265"/>
      <c r="Y6" s="3422"/>
      <c r="Z6" s="3423"/>
      <c r="AA6" s="3395"/>
      <c r="AB6" s="3395"/>
      <c r="AC6" s="3395"/>
    </row>
    <row r="7" spans="1:29" s="102" customFormat="1" ht="15.75" thickBot="1">
      <c r="A7" s="352" t="s">
        <v>1679</v>
      </c>
      <c r="B7" s="353"/>
      <c r="C7" s="354">
        <f>'数据-取费表'!B2</f>
        <v>46015</v>
      </c>
      <c r="D7" s="355">
        <v>100</v>
      </c>
      <c r="E7" s="356">
        <f>案例!R12</f>
        <v>45927</v>
      </c>
      <c r="F7" s="357">
        <f>SUMIF(58:58,YEAR(E7)&amp;"-"&amp;MONTH(E7),59:59)</f>
        <v>100.5</v>
      </c>
      <c r="G7" s="356">
        <f>案例!R14</f>
        <v>45901</v>
      </c>
      <c r="H7" s="355">
        <f>SUMIF(58:58,YEAR(G7)&amp;"-"&amp;MONTH(G7),59:59)</f>
        <v>100.5</v>
      </c>
      <c r="I7" s="356">
        <f>案例!R15</f>
        <v>45899</v>
      </c>
      <c r="J7" s="355">
        <f>SUMIF(58:58,YEAR(I7)&amp;"-"&amp;MONTH(I7),59:59)</f>
        <v>100.5</v>
      </c>
      <c r="K7" s="1746"/>
      <c r="L7" s="2487"/>
      <c r="M7" s="2438"/>
      <c r="N7" s="2438"/>
      <c r="O7" s="2438"/>
      <c r="P7" s="3396" t="s">
        <v>1680</v>
      </c>
      <c r="Q7" s="3425"/>
      <c r="R7" s="664" t="s">
        <v>20</v>
      </c>
      <c r="S7" s="665">
        <f t="shared" ref="S7:S15" si="0">F7</f>
        <v>100.5</v>
      </c>
      <c r="T7" s="664" t="s">
        <v>20</v>
      </c>
      <c r="U7" s="665">
        <f t="shared" ref="U7:U15" si="1">H7</f>
        <v>100.5</v>
      </c>
      <c r="V7" s="664" t="s">
        <v>20</v>
      </c>
      <c r="W7" s="665">
        <f t="shared" ref="W7:W15" si="2">J7</f>
        <v>100.5</v>
      </c>
      <c r="X7" s="666"/>
      <c r="Y7" s="3396" t="s">
        <v>1680</v>
      </c>
      <c r="Z7" s="3397"/>
      <c r="AA7" s="50">
        <f>D7/F7</f>
        <v>0.99502487562189057</v>
      </c>
      <c r="AB7" s="50">
        <f>D7/H7</f>
        <v>0.99502487562189057</v>
      </c>
      <c r="AC7" s="50">
        <f>D7/J7</f>
        <v>0.99502487562189057</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96" t="s">
        <v>1683</v>
      </c>
      <c r="Q8" s="3397"/>
      <c r="R8" s="664" t="s">
        <v>20</v>
      </c>
      <c r="S8" s="665">
        <f t="shared" si="0"/>
        <v>100</v>
      </c>
      <c r="T8" s="664" t="s">
        <v>20</v>
      </c>
      <c r="U8" s="665">
        <f t="shared" si="1"/>
        <v>100</v>
      </c>
      <c r="V8" s="664" t="s">
        <v>20</v>
      </c>
      <c r="W8" s="665">
        <f t="shared" si="2"/>
        <v>100</v>
      </c>
      <c r="X8" s="666"/>
      <c r="Y8" s="3396" t="s">
        <v>1683</v>
      </c>
      <c r="Z8" s="339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11"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411"/>
      <c r="Q11" s="530" t="str">
        <f t="shared" si="6"/>
        <v>容积率</v>
      </c>
      <c r="R11" s="664" t="s">
        <v>18</v>
      </c>
      <c r="S11" s="665">
        <f t="shared" si="0"/>
        <v>100</v>
      </c>
      <c r="T11" s="664" t="s">
        <v>18</v>
      </c>
      <c r="U11" s="665">
        <f t="shared" si="1"/>
        <v>100</v>
      </c>
      <c r="V11" s="664" t="s">
        <v>18</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11"/>
      <c r="Q12" s="530">
        <f t="shared" si="6"/>
        <v>111</v>
      </c>
      <c r="R12" s="664" t="s">
        <v>18</v>
      </c>
      <c r="S12" s="665">
        <f t="shared" si="0"/>
        <v>100</v>
      </c>
      <c r="T12" s="664" t="s">
        <v>18</v>
      </c>
      <c r="U12" s="665">
        <f t="shared" si="1"/>
        <v>100</v>
      </c>
      <c r="V12" s="664" t="s">
        <v>18</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1"/>
      <c r="Q13" s="530">
        <f t="shared" si="6"/>
        <v>111</v>
      </c>
      <c r="R13" s="664" t="s">
        <v>18</v>
      </c>
      <c r="S13" s="665">
        <f t="shared" si="0"/>
        <v>100</v>
      </c>
      <c r="T13" s="664" t="s">
        <v>18</v>
      </c>
      <c r="U13" s="665">
        <f t="shared" si="1"/>
        <v>100</v>
      </c>
      <c r="V13" s="664" t="s">
        <v>18</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1"/>
      <c r="Q14" s="530">
        <f t="shared" si="6"/>
        <v>111</v>
      </c>
      <c r="R14" s="664" t="s">
        <v>18</v>
      </c>
      <c r="S14" s="665">
        <f t="shared" si="0"/>
        <v>100</v>
      </c>
      <c r="T14" s="664" t="s">
        <v>18</v>
      </c>
      <c r="U14" s="665">
        <f t="shared" si="1"/>
        <v>100</v>
      </c>
      <c r="V14" s="664" t="s">
        <v>18</v>
      </c>
      <c r="W14" s="665">
        <f t="shared" si="2"/>
        <v>100</v>
      </c>
      <c r="X14" s="666"/>
      <c r="Y14" s="334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7" t="s">
        <v>1691</v>
      </c>
      <c r="Q15" s="1263" t="str">
        <f t="shared" si="6"/>
        <v>居住社区成熟度</v>
      </c>
      <c r="R15" s="667" t="s">
        <v>18</v>
      </c>
      <c r="S15" s="668">
        <f t="shared" si="0"/>
        <v>100</v>
      </c>
      <c r="T15" s="667" t="s">
        <v>18</v>
      </c>
      <c r="U15" s="668">
        <f t="shared" si="1"/>
        <v>100</v>
      </c>
      <c r="V15" s="667" t="s">
        <v>18</v>
      </c>
      <c r="W15" s="668">
        <f t="shared" si="2"/>
        <v>100</v>
      </c>
      <c r="X15" s="1265"/>
      <c r="Y15" s="3430" t="s">
        <v>1691</v>
      </c>
      <c r="Z15" s="1264" t="str">
        <f t="shared" si="7"/>
        <v>居住社区成熟度</v>
      </c>
      <c r="AA15" s="1264">
        <f t="shared" si="3"/>
        <v>1</v>
      </c>
      <c r="AB15" s="1264">
        <f t="shared" si="4"/>
        <v>1</v>
      </c>
      <c r="AC15" s="1264">
        <f t="shared" si="5"/>
        <v>1</v>
      </c>
    </row>
    <row r="16" spans="1:29" ht="15">
      <c r="A16" s="367"/>
      <c r="B16" s="385"/>
      <c r="C16" s="386" t="s">
        <v>3503</v>
      </c>
      <c r="D16" s="387"/>
      <c r="E16" s="386" t="s">
        <v>3503</v>
      </c>
      <c r="F16" s="387"/>
      <c r="G16" s="386" t="s">
        <v>3503</v>
      </c>
      <c r="H16" s="389"/>
      <c r="I16" s="386" t="s">
        <v>3503</v>
      </c>
      <c r="J16" s="387"/>
      <c r="K16" s="1753"/>
      <c r="L16" s="2491"/>
      <c r="M16" s="2486"/>
      <c r="N16" s="2486"/>
      <c r="O16" s="2486"/>
      <c r="P16" s="3438"/>
      <c r="Q16" s="1263"/>
      <c r="R16" s="667"/>
      <c r="S16" s="668"/>
      <c r="T16" s="667"/>
      <c r="U16" s="668"/>
      <c r="V16" s="667"/>
      <c r="W16" s="668"/>
      <c r="X16" s="1265"/>
      <c r="Y16" s="343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8"/>
      <c r="Q17" s="1263" t="str">
        <f>B17</f>
        <v>交通便捷度</v>
      </c>
      <c r="R17" s="667" t="s">
        <v>18</v>
      </c>
      <c r="S17" s="668">
        <f>F17</f>
        <v>100</v>
      </c>
      <c r="T17" s="667" t="s">
        <v>18</v>
      </c>
      <c r="U17" s="668">
        <f>H17</f>
        <v>100</v>
      </c>
      <c r="V17" s="667" t="s">
        <v>18</v>
      </c>
      <c r="W17" s="668">
        <f>J17</f>
        <v>100</v>
      </c>
      <c r="X17" s="1265"/>
      <c r="Y17" s="3431"/>
      <c r="Z17" s="1264" t="str">
        <f>Q17</f>
        <v>交通便捷度</v>
      </c>
      <c r="AA17" s="1264">
        <f t="shared" si="3"/>
        <v>1</v>
      </c>
      <c r="AB17" s="1264">
        <f t="shared" si="4"/>
        <v>1</v>
      </c>
      <c r="AC17" s="1264">
        <f t="shared" si="5"/>
        <v>1</v>
      </c>
    </row>
    <row r="18" spans="1:29" ht="15">
      <c r="A18" s="367"/>
      <c r="B18" s="395"/>
      <c r="C18" s="1755" t="s">
        <v>3503</v>
      </c>
      <c r="D18" s="389"/>
      <c r="E18" s="386" t="s">
        <v>3503</v>
      </c>
      <c r="F18" s="389"/>
      <c r="G18" s="386" t="s">
        <v>3503</v>
      </c>
      <c r="H18" s="387"/>
      <c r="I18" s="386" t="s">
        <v>3503</v>
      </c>
      <c r="J18" s="387"/>
      <c r="K18" s="1753"/>
      <c r="L18" s="2491"/>
      <c r="M18" s="2486"/>
      <c r="N18" s="2486"/>
      <c r="O18" s="2486"/>
      <c r="P18" s="3438"/>
      <c r="Q18" s="1263"/>
      <c r="R18" s="667"/>
      <c r="S18" s="668"/>
      <c r="T18" s="667"/>
      <c r="U18" s="668"/>
      <c r="V18" s="667"/>
      <c r="W18" s="668"/>
      <c r="X18" s="1265"/>
      <c r="Y18" s="343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8"/>
      <c r="Q19" s="1263" t="str">
        <f>B19</f>
        <v>公共配套设施</v>
      </c>
      <c r="R19" s="667" t="s">
        <v>18</v>
      </c>
      <c r="S19" s="668">
        <f>F19</f>
        <v>100</v>
      </c>
      <c r="T19" s="667" t="s">
        <v>18</v>
      </c>
      <c r="U19" s="668">
        <f>H19</f>
        <v>100</v>
      </c>
      <c r="V19" s="667" t="s">
        <v>18</v>
      </c>
      <c r="W19" s="668">
        <f>J19</f>
        <v>100</v>
      </c>
      <c r="X19" s="1265"/>
      <c r="Y19" s="3431"/>
      <c r="Z19" s="1264" t="str">
        <f>Q19</f>
        <v>公共配套设施</v>
      </c>
      <c r="AA19" s="1264">
        <f t="shared" si="3"/>
        <v>1</v>
      </c>
      <c r="AB19" s="1264">
        <f t="shared" si="4"/>
        <v>1</v>
      </c>
      <c r="AC19" s="1264">
        <f t="shared" si="5"/>
        <v>1</v>
      </c>
    </row>
    <row r="20" spans="1:29" ht="15">
      <c r="A20" s="367"/>
      <c r="B20" s="395"/>
      <c r="C20" s="386" t="s">
        <v>3503</v>
      </c>
      <c r="D20" s="387"/>
      <c r="E20" s="386" t="s">
        <v>3503</v>
      </c>
      <c r="F20" s="387"/>
      <c r="G20" s="386" t="s">
        <v>3503</v>
      </c>
      <c r="H20" s="387"/>
      <c r="I20" s="386" t="s">
        <v>3503</v>
      </c>
      <c r="J20" s="387"/>
      <c r="K20" s="1753"/>
      <c r="L20" s="2491"/>
      <c r="M20" s="2486"/>
      <c r="N20" s="2486"/>
      <c r="O20" s="2486"/>
      <c r="P20" s="3438"/>
      <c r="Q20" s="1263"/>
      <c r="R20" s="667"/>
      <c r="S20" s="668"/>
      <c r="T20" s="667"/>
      <c r="U20" s="668"/>
      <c r="V20" s="667"/>
      <c r="W20" s="668"/>
      <c r="X20" s="1265"/>
      <c r="Y20" s="343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t="s">
        <v>3509</v>
      </c>
      <c r="D22" s="387"/>
      <c r="E22" s="1755" t="s">
        <v>3509</v>
      </c>
      <c r="F22" s="387"/>
      <c r="G22" s="1755" t="s">
        <v>3509</v>
      </c>
      <c r="H22" s="387"/>
      <c r="I22" s="1755" t="s">
        <v>3509</v>
      </c>
      <c r="J22" s="387"/>
      <c r="K22" s="1759"/>
      <c r="L22" s="2491"/>
      <c r="M22" s="2486"/>
      <c r="N22" s="2486"/>
      <c r="O22" s="2486"/>
      <c r="P22" s="3438"/>
      <c r="Q22" s="1263"/>
      <c r="R22" s="667"/>
      <c r="S22" s="668"/>
      <c r="T22" s="667"/>
      <c r="U22" s="668"/>
      <c r="V22" s="667"/>
      <c r="W22" s="668"/>
      <c r="X22" s="1265"/>
      <c r="Y22" s="343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8"/>
      <c r="Q23" s="1263" t="str">
        <f>B23</f>
        <v>自然及人文环境</v>
      </c>
      <c r="R23" s="667" t="s">
        <v>18</v>
      </c>
      <c r="S23" s="668">
        <f>F23</f>
        <v>100</v>
      </c>
      <c r="T23" s="667" t="s">
        <v>18</v>
      </c>
      <c r="U23" s="668">
        <f>H23</f>
        <v>100</v>
      </c>
      <c r="V23" s="667" t="s">
        <v>18</v>
      </c>
      <c r="W23" s="668">
        <f>J23</f>
        <v>100</v>
      </c>
      <c r="X23" s="1265"/>
      <c r="Y23" s="3431"/>
      <c r="Z23" s="1264" t="str">
        <f>Q23</f>
        <v>自然及人文环境</v>
      </c>
      <c r="AA23" s="1264">
        <f>D23/F23</f>
        <v>1</v>
      </c>
      <c r="AB23" s="1264">
        <f>D23/H23</f>
        <v>1</v>
      </c>
      <c r="AC23" s="1264">
        <f>D23/J23</f>
        <v>1</v>
      </c>
    </row>
    <row r="24" spans="1:29" ht="15">
      <c r="A24" s="367"/>
      <c r="B24" s="395"/>
      <c r="C24" s="386" t="s">
        <v>3503</v>
      </c>
      <c r="D24" s="387"/>
      <c r="E24" s="386" t="s">
        <v>3503</v>
      </c>
      <c r="F24" s="387"/>
      <c r="G24" s="386" t="s">
        <v>3503</v>
      </c>
      <c r="H24" s="387"/>
      <c r="I24" s="386" t="s">
        <v>3503</v>
      </c>
      <c r="J24" s="387"/>
      <c r="K24" s="1753"/>
      <c r="L24" s="2491"/>
      <c r="M24" s="2486"/>
      <c r="N24" s="2486"/>
      <c r="O24" s="2486"/>
      <c r="P24" s="3438"/>
      <c r="Q24" s="1263"/>
      <c r="R24" s="667"/>
      <c r="S24" s="668"/>
      <c r="T24" s="667"/>
      <c r="U24" s="668"/>
      <c r="V24" s="667"/>
      <c r="W24" s="668"/>
      <c r="X24" s="1265"/>
      <c r="Y24" s="343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8"/>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31"/>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3428</v>
      </c>
      <c r="D26" s="374">
        <v>100</v>
      </c>
      <c r="E26" s="1760" t="s">
        <v>3428</v>
      </c>
      <c r="F26" s="374">
        <f>SUMIF(88:88,E26,89:89)-SUMIF(88:88,C26,89:89)+100</f>
        <v>100</v>
      </c>
      <c r="G26" s="1760" t="s">
        <v>3456</v>
      </c>
      <c r="H26" s="374">
        <f>SUMIF(88:88,G26,89:89)-SUMIF(88:88,C26,89:89)+100</f>
        <v>100.5</v>
      </c>
      <c r="I26" s="1760" t="s">
        <v>3428</v>
      </c>
      <c r="J26" s="374">
        <f>SUMIF(88:88,I26,89:89)-SUMIF(88:88,C26,89:89)+100</f>
        <v>100</v>
      </c>
      <c r="K26" s="365">
        <v>0.5</v>
      </c>
      <c r="L26" s="2491"/>
      <c r="M26" s="2486"/>
      <c r="N26" s="2486"/>
      <c r="O26" s="2486"/>
      <c r="P26" s="3438"/>
      <c r="Q26" s="1263" t="str">
        <f t="shared" si="11"/>
        <v>朝向</v>
      </c>
      <c r="R26" s="667" t="s">
        <v>18</v>
      </c>
      <c r="S26" s="668">
        <f t="shared" si="12"/>
        <v>100</v>
      </c>
      <c r="T26" s="667" t="s">
        <v>18</v>
      </c>
      <c r="U26" s="668">
        <f t="shared" si="13"/>
        <v>100.5</v>
      </c>
      <c r="V26" s="667" t="s">
        <v>18</v>
      </c>
      <c r="W26" s="668">
        <f t="shared" si="14"/>
        <v>100</v>
      </c>
      <c r="X26" s="1265"/>
      <c r="Y26" s="3431"/>
      <c r="Z26" s="1264" t="str">
        <f>Q26</f>
        <v>朝向</v>
      </c>
      <c r="AA26" s="1264">
        <f t="shared" si="15"/>
        <v>1</v>
      </c>
      <c r="AB26" s="1264">
        <f t="shared" si="16"/>
        <v>0.99502487562189057</v>
      </c>
      <c r="AC26" s="1264">
        <f t="shared" si="17"/>
        <v>1</v>
      </c>
    </row>
    <row r="27" spans="1:29" s="102" customFormat="1" ht="15">
      <c r="A27" s="370"/>
      <c r="B27" s="3175" t="s">
        <v>3505</v>
      </c>
      <c r="C27" s="3177" t="s">
        <v>3506</v>
      </c>
      <c r="D27" s="401">
        <v>100</v>
      </c>
      <c r="E27" s="3178" t="s">
        <v>3507</v>
      </c>
      <c r="F27" s="401">
        <f>SUMIF(90:90,E27,91:91)-SUMIF(90:90,C27,91:91)+100</f>
        <v>101.5</v>
      </c>
      <c r="G27" s="3179" t="s">
        <v>3506</v>
      </c>
      <c r="H27" s="401">
        <f>SUMIF(90:90,G27,91:91)-SUMIF(90:90,C27,91:91)+100</f>
        <v>100</v>
      </c>
      <c r="I27" s="3179" t="s">
        <v>3508</v>
      </c>
      <c r="J27" s="401">
        <f>SUMIF(90:90,I27,91:91)-SUMIF(90:90,C27,91:91)+100</f>
        <v>100.5</v>
      </c>
      <c r="K27" s="1748"/>
      <c r="L27" s="2487"/>
      <c r="M27" s="2438"/>
      <c r="N27" s="2438"/>
      <c r="O27" s="2438"/>
      <c r="P27" s="3438"/>
      <c r="Q27" s="530" t="str">
        <f t="shared" si="11"/>
        <v>楼层</v>
      </c>
      <c r="R27" s="664" t="s">
        <v>18</v>
      </c>
      <c r="S27" s="665">
        <f t="shared" si="12"/>
        <v>101.5</v>
      </c>
      <c r="T27" s="664" t="s">
        <v>18</v>
      </c>
      <c r="U27" s="665">
        <f t="shared" si="13"/>
        <v>100</v>
      </c>
      <c r="V27" s="664" t="s">
        <v>18</v>
      </c>
      <c r="W27" s="665">
        <f t="shared" si="14"/>
        <v>100.5</v>
      </c>
      <c r="X27" s="666"/>
      <c r="Y27" s="3431"/>
      <c r="Z27" s="50" t="str">
        <f>Q27</f>
        <v>楼层</v>
      </c>
      <c r="AA27" s="1264">
        <f t="shared" si="15"/>
        <v>0.98522167487684731</v>
      </c>
      <c r="AB27" s="1264">
        <f t="shared" si="16"/>
        <v>1</v>
      </c>
      <c r="AC27" s="1264">
        <f t="shared" si="17"/>
        <v>0.99502487562189057</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8"/>
      <c r="Q28" s="1263">
        <f t="shared" si="11"/>
        <v>111</v>
      </c>
      <c r="R28" s="667" t="s">
        <v>18</v>
      </c>
      <c r="S28" s="668">
        <f t="shared" si="12"/>
        <v>100</v>
      </c>
      <c r="T28" s="667" t="s">
        <v>18</v>
      </c>
      <c r="U28" s="668">
        <f t="shared" si="13"/>
        <v>100</v>
      </c>
      <c r="V28" s="667" t="s">
        <v>18</v>
      </c>
      <c r="W28" s="668">
        <f t="shared" si="14"/>
        <v>100</v>
      </c>
      <c r="X28" s="1265"/>
      <c r="Y28" s="343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8"/>
      <c r="Q29" s="1263">
        <f t="shared" si="11"/>
        <v>111</v>
      </c>
      <c r="R29" s="667" t="s">
        <v>18</v>
      </c>
      <c r="S29" s="668">
        <f t="shared" si="12"/>
        <v>100</v>
      </c>
      <c r="T29" s="667" t="s">
        <v>18</v>
      </c>
      <c r="U29" s="668">
        <f t="shared" si="13"/>
        <v>100</v>
      </c>
      <c r="V29" s="667" t="s">
        <v>18</v>
      </c>
      <c r="W29" s="668">
        <f t="shared" si="14"/>
        <v>100</v>
      </c>
      <c r="X29" s="1265"/>
      <c r="Y29" s="343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8"/>
      <c r="Q30" s="1263">
        <f t="shared" si="11"/>
        <v>111</v>
      </c>
      <c r="R30" s="667" t="s">
        <v>18</v>
      </c>
      <c r="S30" s="668">
        <f t="shared" si="12"/>
        <v>100</v>
      </c>
      <c r="T30" s="667" t="s">
        <v>18</v>
      </c>
      <c r="U30" s="668">
        <f t="shared" si="13"/>
        <v>100</v>
      </c>
      <c r="V30" s="667" t="s">
        <v>18</v>
      </c>
      <c r="W30" s="668">
        <f t="shared" si="14"/>
        <v>100</v>
      </c>
      <c r="X30" s="1265"/>
      <c r="Y30" s="343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8"/>
      <c r="Q31" s="1263">
        <f t="shared" si="11"/>
        <v>111</v>
      </c>
      <c r="R31" s="667" t="s">
        <v>18</v>
      </c>
      <c r="S31" s="668">
        <f t="shared" si="12"/>
        <v>100</v>
      </c>
      <c r="T31" s="667" t="s">
        <v>18</v>
      </c>
      <c r="U31" s="668">
        <f t="shared" si="13"/>
        <v>100</v>
      </c>
      <c r="V31" s="667" t="s">
        <v>18</v>
      </c>
      <c r="W31" s="668">
        <f t="shared" si="14"/>
        <v>100</v>
      </c>
      <c r="X31" s="1265"/>
      <c r="Y31" s="3431"/>
      <c r="Z31" s="1264">
        <f t="shared" si="18"/>
        <v>111</v>
      </c>
      <c r="AA31" s="1264">
        <f t="shared" si="15"/>
        <v>1</v>
      </c>
      <c r="AB31" s="1264">
        <f t="shared" si="16"/>
        <v>1</v>
      </c>
      <c r="AC31" s="1264">
        <f t="shared" si="17"/>
        <v>1</v>
      </c>
    </row>
    <row r="32" spans="1:29" ht="15">
      <c r="A32" s="379" t="s">
        <v>1694</v>
      </c>
      <c r="B32" s="60" t="s">
        <v>1695</v>
      </c>
      <c r="C32" s="1764" t="s">
        <v>3479</v>
      </c>
      <c r="D32" s="405">
        <v>100</v>
      </c>
      <c r="E32" s="1764" t="s">
        <v>3479</v>
      </c>
      <c r="F32" s="400">
        <f>SUMIF(100:100,E32,101:101)-SUMIF(100:100,C32,101:101)+100</f>
        <v>100</v>
      </c>
      <c r="G32" s="1764" t="s">
        <v>3479</v>
      </c>
      <c r="H32" s="405">
        <f>SUMIF(100:100,G32,101:101)-SUMIF(100:100,C32,101:101)+100</f>
        <v>100</v>
      </c>
      <c r="I32" s="1764" t="s">
        <v>3479</v>
      </c>
      <c r="J32" s="374">
        <f>SUMIF(100:100,I32,101:101)-SUMIF(100:100,C32,101:101)+100</f>
        <v>100</v>
      </c>
      <c r="K32" s="365"/>
      <c r="L32" s="2491"/>
      <c r="M32" s="2486"/>
      <c r="N32" s="2486"/>
      <c r="O32" s="2486"/>
      <c r="P32" s="3432" t="s">
        <v>1696</v>
      </c>
      <c r="Q32" s="1263" t="str">
        <f t="shared" si="11"/>
        <v>建筑类型</v>
      </c>
      <c r="R32" s="667" t="s">
        <v>18</v>
      </c>
      <c r="S32" s="668">
        <f t="shared" si="12"/>
        <v>100</v>
      </c>
      <c r="T32" s="667" t="s">
        <v>18</v>
      </c>
      <c r="U32" s="668">
        <f t="shared" si="13"/>
        <v>100</v>
      </c>
      <c r="V32" s="667" t="s">
        <v>18</v>
      </c>
      <c r="W32" s="668">
        <f t="shared" si="14"/>
        <v>100</v>
      </c>
      <c r="X32" s="1265"/>
      <c r="Y32" s="3435"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32.74</v>
      </c>
      <c r="D33" s="119">
        <v>100</v>
      </c>
      <c r="E33" s="369">
        <f>案例!N12</f>
        <v>32</v>
      </c>
      <c r="F33" s="364">
        <f>LOOKUP(E33,103:103,104:104)-LOOKUP(C33,103:103,104:104)+100</f>
        <v>100</v>
      </c>
      <c r="G33" s="368">
        <f>案例!N14</f>
        <v>31</v>
      </c>
      <c r="H33" s="119">
        <f>LOOKUP(G33,103:103,104:104)-LOOKUP(C33,103:103,104:104)+100</f>
        <v>100</v>
      </c>
      <c r="I33" s="369">
        <f>案例!N15</f>
        <v>31</v>
      </c>
      <c r="J33" s="119">
        <f>LOOKUP(I33,103:103,104:104)-LOOKUP(C33,103:103,104:104)+100</f>
        <v>100</v>
      </c>
      <c r="K33" s="1748"/>
      <c r="L33" s="2490"/>
      <c r="M33" s="2492"/>
      <c r="N33" s="2492"/>
      <c r="O33" s="2492"/>
      <c r="P33" s="3433"/>
      <c r="Q33" s="531" t="str">
        <f t="shared" si="11"/>
        <v>项目建筑规模</v>
      </c>
      <c r="R33" s="669" t="s">
        <v>18</v>
      </c>
      <c r="S33" s="670">
        <f t="shared" si="12"/>
        <v>100</v>
      </c>
      <c r="T33" s="669" t="s">
        <v>18</v>
      </c>
      <c r="U33" s="670">
        <f t="shared" si="13"/>
        <v>100</v>
      </c>
      <c r="V33" s="669" t="s">
        <v>18</v>
      </c>
      <c r="W33" s="670">
        <f t="shared" si="14"/>
        <v>100</v>
      </c>
      <c r="X33" s="671"/>
      <c r="Y33" s="3435"/>
      <c r="Z33" s="672" t="str">
        <f t="shared" si="18"/>
        <v>项目建筑规模</v>
      </c>
      <c r="AA33" s="1264">
        <f t="shared" si="15"/>
        <v>1</v>
      </c>
      <c r="AB33" s="1264">
        <f t="shared" si="16"/>
        <v>1</v>
      </c>
      <c r="AC33" s="1264">
        <f t="shared" si="17"/>
        <v>1</v>
      </c>
    </row>
    <row r="34" spans="1:29" ht="15">
      <c r="A34" s="409"/>
      <c r="B34" s="364" t="s">
        <v>1698</v>
      </c>
      <c r="C34" s="399" t="s">
        <v>3475</v>
      </c>
      <c r="D34" s="374">
        <v>100</v>
      </c>
      <c r="E34" s="399" t="s">
        <v>3475</v>
      </c>
      <c r="F34" s="400">
        <f>SUMIF(105:105,E34,106:106)-SUMIF(105:105,C34,106:106)+100</f>
        <v>100</v>
      </c>
      <c r="G34" s="399" t="s">
        <v>3475</v>
      </c>
      <c r="H34" s="374">
        <f>SUMIF(105:105,G34,106:106)-SUMIF(105:105,C34,106:106)+100</f>
        <v>100</v>
      </c>
      <c r="I34" s="399" t="s">
        <v>3475</v>
      </c>
      <c r="J34" s="374">
        <f>SUMIF(105:105,I34,106:106)-SUMIF(105:105,C34,106:106)+100</f>
        <v>100</v>
      </c>
      <c r="K34" s="365"/>
      <c r="L34" s="2491"/>
      <c r="M34" s="2486"/>
      <c r="N34" s="2486"/>
      <c r="O34" s="2486"/>
      <c r="P34" s="3433"/>
      <c r="Q34" s="1263" t="str">
        <f t="shared" si="11"/>
        <v>建筑结构</v>
      </c>
      <c r="R34" s="667" t="s">
        <v>18</v>
      </c>
      <c r="S34" s="668">
        <f t="shared" si="12"/>
        <v>100</v>
      </c>
      <c r="T34" s="667" t="s">
        <v>18</v>
      </c>
      <c r="U34" s="668">
        <f t="shared" si="13"/>
        <v>100</v>
      </c>
      <c r="V34" s="667" t="s">
        <v>18</v>
      </c>
      <c r="W34" s="668">
        <f t="shared" si="14"/>
        <v>100</v>
      </c>
      <c r="X34" s="1265"/>
      <c r="Y34" s="3435"/>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33"/>
      <c r="Q35" s="1263" t="str">
        <f t="shared" si="11"/>
        <v>建筑品质</v>
      </c>
      <c r="R35" s="667" t="s">
        <v>18</v>
      </c>
      <c r="S35" s="668">
        <f t="shared" si="12"/>
        <v>100</v>
      </c>
      <c r="T35" s="667" t="s">
        <v>18</v>
      </c>
      <c r="U35" s="668">
        <f t="shared" si="13"/>
        <v>100</v>
      </c>
      <c r="V35" s="667" t="s">
        <v>18</v>
      </c>
      <c r="W35" s="668">
        <f t="shared" si="14"/>
        <v>100</v>
      </c>
      <c r="X35" s="1265"/>
      <c r="Y35" s="3435"/>
      <c r="Z35" s="1264" t="str">
        <f t="shared" si="18"/>
        <v>建筑品质</v>
      </c>
      <c r="AA35" s="1264">
        <f t="shared" si="15"/>
        <v>1</v>
      </c>
      <c r="AB35" s="1264">
        <f t="shared" si="16"/>
        <v>1</v>
      </c>
      <c r="AC35" s="1264">
        <f t="shared" si="17"/>
        <v>1</v>
      </c>
    </row>
    <row r="36" spans="1:29" ht="15">
      <c r="A36" s="409"/>
      <c r="B36" s="364" t="s">
        <v>1700</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91"/>
      <c r="M36" s="2486"/>
      <c r="N36" s="2486"/>
      <c r="O36" s="2486"/>
      <c r="P36" s="3433"/>
      <c r="Q36" s="1263" t="str">
        <f t="shared" si="11"/>
        <v>公共部分装修</v>
      </c>
      <c r="R36" s="667" t="s">
        <v>18</v>
      </c>
      <c r="S36" s="668">
        <f t="shared" si="12"/>
        <v>100</v>
      </c>
      <c r="T36" s="667" t="s">
        <v>18</v>
      </c>
      <c r="U36" s="668">
        <f t="shared" si="13"/>
        <v>100</v>
      </c>
      <c r="V36" s="667" t="s">
        <v>18</v>
      </c>
      <c r="W36" s="668">
        <f t="shared" si="14"/>
        <v>100</v>
      </c>
      <c r="X36" s="1265"/>
      <c r="Y36" s="3435"/>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433"/>
      <c r="Q37" s="530" t="str">
        <f t="shared" si="11"/>
        <v>成新度</v>
      </c>
      <c r="R37" s="664" t="s">
        <v>18</v>
      </c>
      <c r="S37" s="665">
        <f t="shared" si="12"/>
        <v>100</v>
      </c>
      <c r="T37" s="664" t="s">
        <v>18</v>
      </c>
      <c r="U37" s="665">
        <f t="shared" si="13"/>
        <v>100</v>
      </c>
      <c r="V37" s="664" t="s">
        <v>18</v>
      </c>
      <c r="W37" s="665">
        <f t="shared" si="14"/>
        <v>100</v>
      </c>
      <c r="X37" s="666"/>
      <c r="Y37" s="3435"/>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3" t="s">
        <v>1696</v>
      </c>
      <c r="Q38" s="1263" t="str">
        <f t="shared" si="11"/>
        <v>物业管理</v>
      </c>
      <c r="R38" s="667" t="s">
        <v>18</v>
      </c>
      <c r="S38" s="668">
        <f t="shared" si="12"/>
        <v>100</v>
      </c>
      <c r="T38" s="667" t="s">
        <v>18</v>
      </c>
      <c r="U38" s="668">
        <f t="shared" si="13"/>
        <v>100</v>
      </c>
      <c r="V38" s="667" t="s">
        <v>18</v>
      </c>
      <c r="W38" s="668">
        <f t="shared" si="14"/>
        <v>100</v>
      </c>
      <c r="X38" s="1265"/>
      <c r="Y38" s="343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3"/>
      <c r="Q39" s="1263" t="str">
        <f t="shared" si="11"/>
        <v>市政基础设施</v>
      </c>
      <c r="R39" s="667" t="s">
        <v>18</v>
      </c>
      <c r="S39" s="668">
        <f t="shared" si="12"/>
        <v>100</v>
      </c>
      <c r="T39" s="667" t="s">
        <v>18</v>
      </c>
      <c r="U39" s="668">
        <f t="shared" si="13"/>
        <v>100</v>
      </c>
      <c r="V39" s="667" t="s">
        <v>18</v>
      </c>
      <c r="W39" s="668">
        <f t="shared" si="14"/>
        <v>100</v>
      </c>
      <c r="X39" s="1265"/>
      <c r="Y39" s="343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3"/>
      <c r="Q40" s="1263" t="str">
        <f t="shared" si="11"/>
        <v>房型</v>
      </c>
      <c r="R40" s="667" t="s">
        <v>18</v>
      </c>
      <c r="S40" s="668">
        <f t="shared" si="12"/>
        <v>100</v>
      </c>
      <c r="T40" s="667" t="s">
        <v>18</v>
      </c>
      <c r="U40" s="668">
        <f t="shared" si="13"/>
        <v>100</v>
      </c>
      <c r="V40" s="667" t="s">
        <v>18</v>
      </c>
      <c r="W40" s="668">
        <f t="shared" si="14"/>
        <v>100</v>
      </c>
      <c r="X40" s="1265"/>
      <c r="Y40" s="343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3"/>
      <c r="Q41" s="531" t="str">
        <f t="shared" si="11"/>
        <v>单套/主力户型建筑面积</v>
      </c>
      <c r="R41" s="669" t="s">
        <v>18</v>
      </c>
      <c r="S41" s="670">
        <f t="shared" si="12"/>
        <v>100</v>
      </c>
      <c r="T41" s="669" t="s">
        <v>18</v>
      </c>
      <c r="U41" s="670">
        <f t="shared" si="13"/>
        <v>100</v>
      </c>
      <c r="V41" s="669" t="s">
        <v>18</v>
      </c>
      <c r="W41" s="670">
        <f t="shared" si="14"/>
        <v>100</v>
      </c>
      <c r="X41" s="671"/>
      <c r="Y41" s="3435"/>
      <c r="Z41" s="672" t="str">
        <f t="shared" si="18"/>
        <v>单套/主力户型建筑面积</v>
      </c>
      <c r="AA41" s="1264">
        <f t="shared" si="15"/>
        <v>1</v>
      </c>
      <c r="AB41" s="1264">
        <f t="shared" si="16"/>
        <v>1</v>
      </c>
      <c r="AC41" s="1264">
        <f t="shared" si="17"/>
        <v>1</v>
      </c>
    </row>
    <row r="42" spans="1:29" ht="15">
      <c r="A42" s="409"/>
      <c r="B42" s="364" t="s">
        <v>1706</v>
      </c>
      <c r="C42" s="1760" t="s">
        <v>3420</v>
      </c>
      <c r="D42" s="374">
        <v>100</v>
      </c>
      <c r="E42" s="1760" t="s">
        <v>3420</v>
      </c>
      <c r="F42" s="400">
        <f>SUMIF(122:122,E42,123:123)-SUMIF(122:122,C42,123:123)+100</f>
        <v>100</v>
      </c>
      <c r="G42" s="1760" t="s">
        <v>3420</v>
      </c>
      <c r="H42" s="374">
        <f>SUMIF(122:122,G42,123:123)-SUMIF(122:122,C42,123:123)+100</f>
        <v>100</v>
      </c>
      <c r="I42" s="1760" t="s">
        <v>3420</v>
      </c>
      <c r="J42" s="374">
        <f>SUMIF(122:122,I42,123:123)-SUMIF(122:122,C42,123:123)+100</f>
        <v>100</v>
      </c>
      <c r="K42" s="365"/>
      <c r="L42" s="2491"/>
      <c r="M42" s="2486"/>
      <c r="N42" s="2486"/>
      <c r="O42" s="2486"/>
      <c r="P42" s="3433"/>
      <c r="Q42" s="1263" t="str">
        <f t="shared" si="11"/>
        <v>内部装修</v>
      </c>
      <c r="R42" s="667" t="s">
        <v>18</v>
      </c>
      <c r="S42" s="668">
        <f t="shared" si="12"/>
        <v>100</v>
      </c>
      <c r="T42" s="667" t="s">
        <v>18</v>
      </c>
      <c r="U42" s="668">
        <f t="shared" si="13"/>
        <v>100</v>
      </c>
      <c r="V42" s="667" t="s">
        <v>18</v>
      </c>
      <c r="W42" s="668">
        <f t="shared" si="14"/>
        <v>100</v>
      </c>
      <c r="X42" s="1265"/>
      <c r="Y42" s="3435"/>
      <c r="Z42" s="1264" t="str">
        <f t="shared" si="18"/>
        <v>内部装修</v>
      </c>
      <c r="AA42" s="1264">
        <f t="shared" si="15"/>
        <v>1</v>
      </c>
      <c r="AB42" s="1264">
        <f t="shared" si="16"/>
        <v>1</v>
      </c>
      <c r="AC42" s="1264">
        <f t="shared" si="17"/>
        <v>1</v>
      </c>
    </row>
    <row r="43" spans="1:29" ht="15">
      <c r="A43" s="409"/>
      <c r="B43" s="364" t="s">
        <v>1707</v>
      </c>
      <c r="C43" s="1760" t="s">
        <v>3503</v>
      </c>
      <c r="D43" s="374">
        <v>100</v>
      </c>
      <c r="E43" s="1760" t="s">
        <v>3503</v>
      </c>
      <c r="F43" s="400">
        <f>SUMIF(124:124,E43,125:125)-SUMIF(124:124,C43,125:125)+100</f>
        <v>100</v>
      </c>
      <c r="G43" s="1760" t="s">
        <v>3503</v>
      </c>
      <c r="H43" s="374">
        <f>SUMIF(124:124,G43,125:125)-SUMIF(124:124,C43,125:125)+100</f>
        <v>100</v>
      </c>
      <c r="I43" s="1760" t="s">
        <v>3503</v>
      </c>
      <c r="J43" s="374">
        <f>SUMIF(124:124,I43,125:125)-SUMIF(124:124,C43,125:125)+100</f>
        <v>100</v>
      </c>
      <c r="K43" s="365"/>
      <c r="L43" s="2491"/>
      <c r="M43" s="2486"/>
      <c r="N43" s="2486"/>
      <c r="O43" s="2486"/>
      <c r="P43" s="3433"/>
      <c r="Q43" s="1263" t="str">
        <f t="shared" si="11"/>
        <v>内部装修维护情况</v>
      </c>
      <c r="R43" s="667" t="s">
        <v>18</v>
      </c>
      <c r="S43" s="668">
        <f t="shared" si="12"/>
        <v>100</v>
      </c>
      <c r="T43" s="667" t="s">
        <v>18</v>
      </c>
      <c r="U43" s="668">
        <f t="shared" si="13"/>
        <v>100</v>
      </c>
      <c r="V43" s="667" t="s">
        <v>18</v>
      </c>
      <c r="W43" s="668">
        <f t="shared" si="14"/>
        <v>100</v>
      </c>
      <c r="X43" s="1265"/>
      <c r="Y43" s="343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33"/>
      <c r="Q44" s="530">
        <f t="shared" si="11"/>
        <v>111</v>
      </c>
      <c r="R44" s="664" t="s">
        <v>18</v>
      </c>
      <c r="S44" s="665">
        <f t="shared" si="12"/>
        <v>100</v>
      </c>
      <c r="T44" s="664" t="s">
        <v>18</v>
      </c>
      <c r="U44" s="665">
        <f t="shared" si="13"/>
        <v>100</v>
      </c>
      <c r="V44" s="664" t="s">
        <v>18</v>
      </c>
      <c r="W44" s="665">
        <f t="shared" si="14"/>
        <v>100</v>
      </c>
      <c r="X44" s="666"/>
      <c r="Y44" s="343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3"/>
      <c r="Q45" s="1263">
        <f t="shared" si="11"/>
        <v>111</v>
      </c>
      <c r="R45" s="667" t="s">
        <v>18</v>
      </c>
      <c r="S45" s="668">
        <f t="shared" si="12"/>
        <v>100</v>
      </c>
      <c r="T45" s="667" t="s">
        <v>18</v>
      </c>
      <c r="U45" s="668">
        <f t="shared" si="13"/>
        <v>100</v>
      </c>
      <c r="V45" s="667" t="s">
        <v>18</v>
      </c>
      <c r="W45" s="668">
        <f t="shared" si="14"/>
        <v>100</v>
      </c>
      <c r="X45" s="1265"/>
      <c r="Y45" s="343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4"/>
      <c r="Q46" s="1263">
        <f t="shared" si="11"/>
        <v>111</v>
      </c>
      <c r="R46" s="667" t="s">
        <v>17</v>
      </c>
      <c r="S46" s="668">
        <f t="shared" si="12"/>
        <v>100</v>
      </c>
      <c r="T46" s="667" t="s">
        <v>17</v>
      </c>
      <c r="U46" s="668">
        <f t="shared" si="13"/>
        <v>100</v>
      </c>
      <c r="V46" s="667" t="s">
        <v>17</v>
      </c>
      <c r="W46" s="668">
        <f t="shared" si="14"/>
        <v>100</v>
      </c>
      <c r="X46" s="1265"/>
      <c r="Y46" s="3436"/>
      <c r="Z46" s="1264">
        <f t="shared" si="18"/>
        <v>111</v>
      </c>
      <c r="AA46" s="1264">
        <f t="shared" si="15"/>
        <v>1</v>
      </c>
      <c r="AB46" s="1264">
        <f t="shared" si="16"/>
        <v>1</v>
      </c>
      <c r="AC46" s="1264">
        <f t="shared" si="17"/>
        <v>1</v>
      </c>
    </row>
    <row r="47" spans="1:29" ht="15">
      <c r="A47" s="416" t="s">
        <v>1708</v>
      </c>
      <c r="B47" s="417"/>
      <c r="C47" s="1081" t="s">
        <v>16</v>
      </c>
      <c r="D47" s="418"/>
      <c r="E47" s="419">
        <f>案例!O17</f>
        <v>42692</v>
      </c>
      <c r="F47" s="420"/>
      <c r="G47" s="421">
        <f>案例!O18</f>
        <v>37220</v>
      </c>
      <c r="H47" s="422"/>
      <c r="I47" s="419">
        <f>案例!O19</f>
        <v>40423</v>
      </c>
      <c r="J47" s="422"/>
      <c r="K47" s="1765"/>
      <c r="L47" s="2493"/>
      <c r="M47" s="2486"/>
      <c r="N47" s="2486"/>
      <c r="O47" s="2486"/>
      <c r="P47" s="3429" t="str">
        <f>A47</f>
        <v>成交单价（元/平方米）</v>
      </c>
      <c r="Q47" s="3429"/>
      <c r="R47" s="3424">
        <f>E47</f>
        <v>42692</v>
      </c>
      <c r="S47" s="3424"/>
      <c r="T47" s="3424">
        <f>G47</f>
        <v>37220</v>
      </c>
      <c r="U47" s="3424"/>
      <c r="V47" s="3424">
        <f>I47</f>
        <v>40423</v>
      </c>
      <c r="W47" s="3424"/>
      <c r="X47" s="385"/>
      <c r="Y47" s="673"/>
      <c r="Z47" s="385"/>
      <c r="AA47" s="385"/>
      <c r="AB47" s="385"/>
      <c r="AC47" s="385"/>
    </row>
    <row r="48" spans="1:29" ht="15.75" thickBot="1">
      <c r="A48" s="423" t="s">
        <v>1709</v>
      </c>
      <c r="B48" s="424"/>
      <c r="C48" s="1082">
        <f>R49</f>
        <v>39575</v>
      </c>
      <c r="D48" s="2139" t="s">
        <v>2138</v>
      </c>
      <c r="E48" s="1083">
        <f>R48</f>
        <v>41852</v>
      </c>
      <c r="F48" s="2140"/>
      <c r="G48" s="1082">
        <f>T48</f>
        <v>36851</v>
      </c>
      <c r="H48" s="2140"/>
      <c r="I48" s="1083">
        <f>V48</f>
        <v>40022</v>
      </c>
      <c r="J48" s="2140"/>
      <c r="K48" s="2141">
        <f>F48+H48+J48</f>
        <v>0</v>
      </c>
      <c r="L48" s="2493"/>
      <c r="M48" s="2486"/>
      <c r="N48" s="2486"/>
      <c r="O48" s="2486"/>
      <c r="P48" s="3429" t="str">
        <f>A48</f>
        <v>比较价值（元/平方米）</v>
      </c>
      <c r="Q48" s="3429"/>
      <c r="R48" s="3424">
        <f>IF(F1="售价",ROUND(PRODUCT(R47,AA7:AA46),0),ROUND(PRODUCT(R47,AA7:AA46),1))</f>
        <v>41852</v>
      </c>
      <c r="S48" s="3424"/>
      <c r="T48" s="3424">
        <f>IF(F1="售价",ROUND(PRODUCT(T47,AB7:AB46),0),ROUND(PRODUCT(T47,AB7:AB46),1))</f>
        <v>36851</v>
      </c>
      <c r="U48" s="3424"/>
      <c r="V48" s="3424">
        <f>IF(F1="售价",ROUND(PRODUCT(V47,AC7:AC46),0),ROUND(PRODUCT(V47,AC7:AC46),1))</f>
        <v>40022</v>
      </c>
      <c r="W48" s="3424"/>
      <c r="X48" s="385"/>
      <c r="Y48" s="385"/>
      <c r="Z48" s="385"/>
      <c r="AA48" s="385"/>
      <c r="AB48" s="385"/>
      <c r="AC48" s="385"/>
    </row>
    <row r="49" spans="1:29" ht="15.75" thickBot="1">
      <c r="A49" s="427" t="s">
        <v>1710</v>
      </c>
      <c r="B49" s="428"/>
      <c r="C49" s="1084">
        <f>R49</f>
        <v>39575</v>
      </c>
      <c r="D49" s="351"/>
      <c r="E49" s="351"/>
      <c r="F49" s="351"/>
      <c r="G49" s="351"/>
      <c r="H49" s="351"/>
      <c r="I49" s="351"/>
      <c r="J49" s="351"/>
      <c r="K49" s="1766"/>
      <c r="L49" s="2493"/>
      <c r="M49" s="2486"/>
      <c r="N49" s="2486"/>
      <c r="O49" s="2486"/>
      <c r="P49" s="3426" t="str">
        <f>A49</f>
        <v>估价对象XX用房的比较价值（楼面单价，元/平方米）</v>
      </c>
      <c r="Q49" s="3427"/>
      <c r="R49" s="3428">
        <f>IF(F1="售价",ROUND(IF(D48="简单平均",AVERAGE(R48:V48),R48*F48+T48*H48+V48*J48),0),ROUND(IF(D48="简单平均",AVERAGE(R48:V48),R48*F48+T48*H48+V48*J48),1))</f>
        <v>39575</v>
      </c>
      <c r="S49" s="3428"/>
      <c r="T49" s="3428"/>
      <c r="U49" s="3428"/>
      <c r="V49" s="3428"/>
      <c r="W49" s="342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2.0070725413361412E-2</v>
      </c>
      <c r="F52" s="435" t="str">
        <f>IF(OR(E52&gt;=0.3,E52&lt;=-0.3),"超过30%","")</f>
        <v/>
      </c>
      <c r="G52" s="434">
        <f>IF(G47&lt;G48,G48/G47-1,G47/G48-1)</f>
        <v>1.0013296789775028E-2</v>
      </c>
      <c r="H52" s="435" t="str">
        <f>IF(OR(G52&gt;=0.3,G52&lt;=-0.3),"超过30%","")</f>
        <v/>
      </c>
      <c r="I52" s="434">
        <f>IF(I47&lt;I48,I48/I47-1,I47/I48-1)</f>
        <v>1.0019489280895577E-2</v>
      </c>
      <c r="J52" s="435" t="str">
        <f>IF(OR(I52&gt;=0.3,I52&lt;=-0.3),"超过30%","")</f>
        <v/>
      </c>
      <c r="K52" s="2498"/>
      <c r="L52" s="2494"/>
      <c r="M52" s="2486"/>
      <c r="N52" s="2486"/>
      <c r="O52" s="2486"/>
    </row>
    <row r="53" spans="1:29" ht="13.5" customHeight="1">
      <c r="A53" s="2486"/>
      <c r="B53" s="2486"/>
      <c r="C53" s="432" t="s">
        <v>1712</v>
      </c>
      <c r="D53" s="436"/>
      <c r="E53" s="434">
        <f>IF(E48&lt;G48,G48/E48-1,E48/G48-1)</f>
        <v>0.13570866462239839</v>
      </c>
      <c r="F53" s="435" t="str">
        <f>IF(OR(E53&gt;=0.2,E53&lt;=-0.2),"超过20%","")</f>
        <v/>
      </c>
      <c r="G53" s="434">
        <f>IF(G48&lt;I48,I48/G48-1,G48/I48-1)</f>
        <v>8.604922525847325E-2</v>
      </c>
      <c r="H53" s="435" t="str">
        <f>IF(OR(G53&gt;=0.2,G53&lt;=-0.2),"超过20%","")</f>
        <v/>
      </c>
      <c r="I53" s="434">
        <f>IF(I48&lt;E48,E48/I48-1,I48/E48-1)</f>
        <v>4.5724851331767624E-2</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0.14701773240193439</v>
      </c>
      <c r="F54" s="435" t="str">
        <f>IF(OR(E54&gt;=0.3,E54&lt;=-0.3),"超过30%","")</f>
        <v/>
      </c>
      <c r="G54" s="434">
        <f>IF(G47&lt;I47,I47/G47-1,G47/I47-1)</f>
        <v>8.6055883933369159E-2</v>
      </c>
      <c r="H54" s="435" t="str">
        <f>IF(OR(G54&gt;=0.3,G54&lt;=-0.3),"超过30%","")</f>
        <v/>
      </c>
      <c r="I54" s="434">
        <f>IF(I47&lt;E47,E47/I47-1,I47/E47-1)</f>
        <v>5.6131410335700016E-2</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1715</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100.5</v>
      </c>
      <c r="G59" s="446">
        <v>100.5</v>
      </c>
      <c r="H59" s="446">
        <v>100.5</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1717</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4" t="s">
        <v>3504</v>
      </c>
      <c r="D88" s="3174" t="s">
        <v>3485</v>
      </c>
      <c r="E88" s="3174" t="s">
        <v>3486</v>
      </c>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99.5</v>
      </c>
      <c r="E89" s="475">
        <f t="shared" si="24"/>
        <v>99</v>
      </c>
      <c r="F89" s="475">
        <f t="shared" si="24"/>
        <v>98.5</v>
      </c>
      <c r="G89" s="475">
        <f t="shared" si="24"/>
        <v>98</v>
      </c>
      <c r="H89" s="475">
        <f t="shared" si="24"/>
        <v>97.5</v>
      </c>
      <c r="I89" s="475">
        <f t="shared" si="24"/>
        <v>97</v>
      </c>
      <c r="J89" s="475">
        <f t="shared" si="24"/>
        <v>96.5</v>
      </c>
      <c r="K89" s="475">
        <f t="shared" si="24"/>
        <v>96</v>
      </c>
      <c r="L89" s="475">
        <f t="shared" si="24"/>
        <v>95.5</v>
      </c>
      <c r="M89" s="475">
        <f t="shared" si="24"/>
        <v>95</v>
      </c>
      <c r="N89" s="880"/>
      <c r="O89" s="880"/>
      <c r="P89" s="1773"/>
      <c r="Q89" s="439"/>
    </row>
    <row r="90" spans="1:17" s="408" customFormat="1" ht="15.75" thickTop="1">
      <c r="A90" s="484"/>
      <c r="B90" s="469" t="str">
        <f>B27</f>
        <v>楼层</v>
      </c>
      <c r="C90" s="3176" t="s">
        <v>3491</v>
      </c>
      <c r="D90" s="3176" t="s">
        <v>3492</v>
      </c>
      <c r="E90" s="3174" t="s">
        <v>3425</v>
      </c>
      <c r="F90" s="3176" t="s">
        <v>3494</v>
      </c>
      <c r="G90" s="3176" t="s">
        <v>3493</v>
      </c>
      <c r="H90" s="486"/>
      <c r="I90" s="486"/>
      <c r="J90" s="486"/>
      <c r="K90" s="486"/>
      <c r="L90" s="487"/>
      <c r="M90" s="488"/>
      <c r="N90" s="881"/>
      <c r="O90" s="881"/>
      <c r="P90" s="1774"/>
      <c r="Q90" s="490"/>
    </row>
    <row r="91" spans="1:17" s="408" customFormat="1" ht="15.75" thickBot="1">
      <c r="A91" s="484"/>
      <c r="B91" s="474"/>
      <c r="C91" s="491">
        <v>100</v>
      </c>
      <c r="D91" s="491">
        <v>100</v>
      </c>
      <c r="E91" s="491">
        <v>100.5</v>
      </c>
      <c r="F91" s="491">
        <v>101</v>
      </c>
      <c r="G91" s="491">
        <v>101.5</v>
      </c>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3" t="s">
        <v>3480</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4"/>
      <c r="Q104" s="490"/>
    </row>
    <row r="105" spans="1:17" ht="15" thickTop="1">
      <c r="A105" s="409"/>
      <c r="B105" s="469" t="s">
        <v>1738</v>
      </c>
      <c r="C105" s="3174" t="s">
        <v>3481</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4" t="s">
        <v>3482</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4" t="s">
        <v>3483</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4" t="s">
        <v>3482</v>
      </c>
      <c r="D122" s="485"/>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35" priority="14" stopIfTrue="1">
      <formula>$F$52="超过30%"</formula>
    </cfRule>
  </conditionalFormatting>
  <conditionalFormatting sqref="E53">
    <cfRule type="expression" dxfId="134" priority="11" stopIfTrue="1">
      <formula>$F$53="超过20%"</formula>
    </cfRule>
  </conditionalFormatting>
  <conditionalFormatting sqref="E54">
    <cfRule type="expression" dxfId="133" priority="10" stopIfTrue="1">
      <formula>$F$54="超过30%"</formula>
    </cfRule>
  </conditionalFormatting>
  <conditionalFormatting sqref="F7:F46 H7:H46 J7:J46">
    <cfRule type="cellIs" dxfId="132" priority="1" operator="notEqual">
      <formula>100</formula>
    </cfRule>
  </conditionalFormatting>
  <conditionalFormatting sqref="F48">
    <cfRule type="expression" dxfId="131" priority="4">
      <formula>$D$48="简单平均"</formula>
    </cfRule>
  </conditionalFormatting>
  <conditionalFormatting sqref="F52:F54 H52:H54 J52:J54">
    <cfRule type="containsText" dxfId="130" priority="15" stopIfTrue="1" operator="containsText" text="超过">
      <formula>NOT(ISERROR(SEARCH("超过",F52)))</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G54">
    <cfRule type="expression" dxfId="127" priority="12" stopIfTrue="1">
      <formula>$H$54="超过30%"</formula>
    </cfRule>
  </conditionalFormatting>
  <conditionalFormatting sqref="H48">
    <cfRule type="expression" dxfId="126" priority="3">
      <formula>$D$48="简单平均"</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J48">
    <cfRule type="expression" dxfId="122"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4" zoomScale="115" zoomScaleNormal="70" zoomScaleSheetLayoutView="115" workbookViewId="0">
      <selection activeCell="F43" sqref="F43"/>
    </sheetView>
  </sheetViews>
  <sheetFormatPr defaultColWidth="9" defaultRowHeight="12.75"/>
  <cols>
    <col min="1" max="1" width="9" style="250" customWidth="1"/>
    <col min="2" max="2" width="20.625" style="625" customWidth="1"/>
    <col min="3" max="3" width="11.875" style="625"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72" customWidth="1"/>
    <col min="12" max="12" width="16.375" style="250" customWidth="1"/>
    <col min="13" max="13" width="13" style="250" customWidth="1"/>
    <col min="14" max="14" width="13.75" style="1292" customWidth="1"/>
    <col min="15" max="15" width="5.125" style="1292" customWidth="1"/>
    <col min="16" max="16" width="25.75" style="1292" customWidth="1"/>
    <col min="17" max="17" width="13.75" style="1292" customWidth="1"/>
    <col min="18" max="18" width="20.5" style="1292" customWidth="1"/>
    <col min="19" max="19" width="13.25" style="1292" customWidth="1"/>
    <col min="20" max="37" width="9" style="1292"/>
    <col min="38" max="16384" width="9" style="250"/>
  </cols>
  <sheetData>
    <row r="1" spans="1:37" s="285" customFormat="1" ht="21">
      <c r="A1" s="1283" t="s">
        <v>877</v>
      </c>
      <c r="B1" s="663"/>
      <c r="C1" s="1287" t="s">
        <v>3468</v>
      </c>
      <c r="D1" s="1271" t="s">
        <v>43</v>
      </c>
      <c r="E1" s="1272" t="s">
        <v>678</v>
      </c>
      <c r="F1" s="999">
        <f ca="1">J53</f>
        <v>18.95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65.195599999999999</v>
      </c>
      <c r="C2" s="1289" t="s">
        <v>879</v>
      </c>
      <c r="D2" s="1375">
        <f ca="1">C40+J29+L46</f>
        <v>651956</v>
      </c>
      <c r="E2" s="1295" t="s">
        <v>880</v>
      </c>
      <c r="F2" s="1296"/>
      <c r="G2" s="2477"/>
      <c r="H2" s="2467"/>
      <c r="I2" s="2467"/>
      <c r="J2" s="2467"/>
      <c r="K2" s="2468"/>
      <c r="L2" s="2467"/>
      <c r="M2" s="2467"/>
    </row>
    <row r="3" spans="1:37" ht="18" customHeight="1" thickBot="1">
      <c r="A3" s="1297" t="s">
        <v>881</v>
      </c>
      <c r="B3" s="1298">
        <f ca="1">IF(ISERROR(D2/F43),0,ROUND(D2/F43,0))</f>
        <v>19913</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50612</v>
      </c>
      <c r="D5" s="1273" t="s">
        <v>889</v>
      </c>
      <c r="E5" s="1008"/>
      <c r="F5" s="1009"/>
      <c r="G5" s="1292"/>
      <c r="H5" s="291">
        <v>1</v>
      </c>
      <c r="I5" s="292" t="s">
        <v>888</v>
      </c>
      <c r="J5" s="1007">
        <f ca="1">J6+J10+J12</f>
        <v>0</v>
      </c>
      <c r="K5" s="1273" t="s">
        <v>889</v>
      </c>
      <c r="L5" s="1008"/>
      <c r="M5" s="1009"/>
    </row>
    <row r="6" spans="1:37" ht="18" customHeight="1">
      <c r="A6" s="1006" t="s">
        <v>398</v>
      </c>
      <c r="B6" s="3369" t="s">
        <v>694</v>
      </c>
      <c r="C6" s="1011">
        <f ca="1">ROUND(F6*F8*F7*(1-F9),0)</f>
        <v>50549</v>
      </c>
      <c r="D6" s="147" t="s">
        <v>2106</v>
      </c>
      <c r="E6" s="294" t="s">
        <v>696</v>
      </c>
      <c r="F6" s="295">
        <f ca="1">INDIRECT("'数据-取费表'!u"&amp;$G$1)</f>
        <v>4.7</v>
      </c>
      <c r="G6" s="1292"/>
      <c r="H6" s="1006" t="s">
        <v>398</v>
      </c>
      <c r="I6" s="3369" t="s">
        <v>694</v>
      </c>
      <c r="J6" s="293">
        <f ca="1">ROUND(M6*M8*M7*(1-M9),0)</f>
        <v>0</v>
      </c>
      <c r="K6" s="1284" t="s">
        <v>2107</v>
      </c>
      <c r="L6" s="294" t="s">
        <v>696</v>
      </c>
      <c r="M6" s="295">
        <f ca="1">INDIRECT("'数据-取费表'!z"&amp;$G$1)</f>
        <v>0</v>
      </c>
    </row>
    <row r="7" spans="1:37" ht="18" customHeight="1">
      <c r="A7" s="1010"/>
      <c r="B7" s="3370"/>
      <c r="C7" s="1012"/>
      <c r="D7" s="299"/>
      <c r="E7" s="1013" t="s">
        <v>697</v>
      </c>
      <c r="F7" s="295">
        <f ca="1">IF(INDIRECT("'数据-取费表'!ah"&amp;$G$1)="",INDIRECT("'数据-取费表'!k"&amp;$G$1),INDIRECT("'数据-取费表'!ah"&amp;$G$1))</f>
        <v>32.74</v>
      </c>
      <c r="G7" s="1292"/>
      <c r="H7" s="296"/>
      <c r="I7" s="3370"/>
      <c r="J7" s="298"/>
      <c r="K7" s="299"/>
      <c r="L7" s="294" t="s">
        <v>697</v>
      </c>
      <c r="M7" s="295">
        <f ca="1">F7</f>
        <v>32.74</v>
      </c>
    </row>
    <row r="8" spans="1:37" ht="18" customHeight="1">
      <c r="A8" s="296"/>
      <c r="B8" s="3370"/>
      <c r="C8" s="298"/>
      <c r="D8" s="299"/>
      <c r="E8" s="294" t="s">
        <v>698</v>
      </c>
      <c r="F8" s="295">
        <f ca="1">INDIRECT("'数据-取费表'!ai"&amp;$G$1)</f>
        <v>365</v>
      </c>
      <c r="G8" s="1292"/>
      <c r="H8" s="296"/>
      <c r="I8" s="3370"/>
      <c r="J8" s="298"/>
      <c r="K8" s="299"/>
      <c r="L8" s="294" t="s">
        <v>698</v>
      </c>
      <c r="M8" s="295">
        <f ca="1">INDIRECT("'数据-取费表'!ai"&amp;$G$1)</f>
        <v>365</v>
      </c>
    </row>
    <row r="9" spans="1:37" ht="18" customHeight="1">
      <c r="A9" s="296"/>
      <c r="B9" s="3371"/>
      <c r="C9" s="298"/>
      <c r="D9" s="299"/>
      <c r="E9" s="294" t="s">
        <v>699</v>
      </c>
      <c r="F9" s="304">
        <f ca="1">INDIRECT("'数据-取费表'!w"&amp;$G$1)</f>
        <v>0.1</v>
      </c>
      <c r="G9" s="1292"/>
      <c r="H9" s="296"/>
      <c r="I9" s="3371"/>
      <c r="J9" s="298"/>
      <c r="K9" s="299"/>
      <c r="L9" s="305" t="s">
        <v>699</v>
      </c>
      <c r="M9" s="306">
        <f ca="1">INDIRECT("'数据-取费表'!ab"&amp;$G$1)</f>
        <v>0</v>
      </c>
    </row>
    <row r="10" spans="1:37" ht="18" customHeight="1">
      <c r="A10" s="1006" t="s">
        <v>402</v>
      </c>
      <c r="B10" s="1274" t="s">
        <v>700</v>
      </c>
      <c r="C10" s="308">
        <f ca="1">ROUND(IF(F10="押一",C6/12*F11,IF(F10="押二",C6/12*2*F11,IF(F10="押三",C6/12*3*F11,C11*F11))),0)</f>
        <v>63</v>
      </c>
      <c r="D10" s="150" t="s">
        <v>2116</v>
      </c>
      <c r="E10" s="305" t="s">
        <v>701</v>
      </c>
      <c r="F10" s="1053" t="s">
        <v>3474</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127467</v>
      </c>
      <c r="D13" s="1018" t="s">
        <v>705</v>
      </c>
      <c r="E13" s="1018" t="s">
        <v>706</v>
      </c>
      <c r="F13" s="1019">
        <f ca="1">INDIRECT("'数据-取费表'!y"&amp;$G$1)</f>
        <v>0.8</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114590</v>
      </c>
      <c r="D14" s="1257" t="s">
        <v>708</v>
      </c>
      <c r="E14" s="1255"/>
      <c r="F14" s="311"/>
      <c r="G14" s="1292"/>
      <c r="H14" s="928" t="s">
        <v>398</v>
      </c>
      <c r="I14" s="294" t="s">
        <v>709</v>
      </c>
      <c r="J14" s="21">
        <f ca="1">C29</f>
        <v>159334</v>
      </c>
      <c r="K14" s="12"/>
      <c r="L14" s="759"/>
      <c r="M14" s="760"/>
    </row>
    <row r="15" spans="1:37" s="1304" customFormat="1" ht="18" customHeight="1" thickBot="1">
      <c r="A15" s="928" t="s">
        <v>399</v>
      </c>
      <c r="B15" s="294" t="s">
        <v>710</v>
      </c>
      <c r="C15" s="21">
        <f ca="1">ROUND(C14*F15,0)</f>
        <v>5730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319</v>
      </c>
      <c r="K16" s="1024" t="s">
        <v>715</v>
      </c>
      <c r="L16" s="1025"/>
      <c r="M16" s="1009"/>
    </row>
    <row r="17" spans="1:37" s="1304" customFormat="1" ht="18" customHeight="1">
      <c r="A17" s="928" t="s">
        <v>681</v>
      </c>
      <c r="B17" s="294" t="s">
        <v>716</v>
      </c>
      <c r="C17" s="21">
        <f ca="1">ROUND(F17*(F43+INDIRECT("'数据-取费表'!S"&amp;$G$1)),0)</f>
        <v>6548</v>
      </c>
      <c r="D17" s="294" t="s">
        <v>717</v>
      </c>
      <c r="E17" s="294" t="s">
        <v>718</v>
      </c>
      <c r="F17" s="23">
        <f>'数据-取费表'!B35</f>
        <v>200</v>
      </c>
      <c r="G17" s="1303"/>
      <c r="H17" s="928" t="s">
        <v>398</v>
      </c>
      <c r="I17" s="294" t="s">
        <v>719</v>
      </c>
      <c r="J17" s="2138">
        <f ca="1">ROUND(IF(AND(项目基本情况!B11="自然人",项目基本情况!B10="北京市"),J6*M17/(1+'数据-取费表'!C42),J18+J19+J20),0)</f>
        <v>0</v>
      </c>
      <c r="K17" s="1257" t="s">
        <v>720</v>
      </c>
      <c r="L17" s="1256" t="s">
        <v>721</v>
      </c>
      <c r="M17" s="2137">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2292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129160</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2583</v>
      </c>
      <c r="D20" s="315" t="s">
        <v>729</v>
      </c>
      <c r="E20" s="294" t="s">
        <v>712</v>
      </c>
      <c r="F20" s="314">
        <f>'数据-取费表'!B37</f>
        <v>0.02</v>
      </c>
      <c r="G20" s="1303"/>
      <c r="H20" s="928" t="s">
        <v>680</v>
      </c>
      <c r="I20" s="147" t="s">
        <v>730</v>
      </c>
      <c r="J20" s="22">
        <f ca="1">ROUND(M20*M21,0)</f>
        <v>0</v>
      </c>
      <c r="K20" s="316" t="s">
        <v>731</v>
      </c>
      <c r="L20" s="294" t="s">
        <v>732</v>
      </c>
      <c r="M20" s="317">
        <f>'数据-取费表'!B52</f>
        <v>0</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0.01</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319</v>
      </c>
      <c r="K22" s="1256" t="s">
        <v>739</v>
      </c>
      <c r="L22" s="294" t="s">
        <v>712</v>
      </c>
      <c r="M22" s="320">
        <f ca="1">INDIRECT("'数据-取费表'!Ak"&amp;$G$1)</f>
        <v>2E-3</v>
      </c>
    </row>
    <row r="23" spans="1:37" s="1304" customFormat="1" ht="18" customHeight="1">
      <c r="A23" s="928" t="s">
        <v>397</v>
      </c>
      <c r="B23" s="294" t="s">
        <v>740</v>
      </c>
      <c r="C23" s="21">
        <f ca="1">IF('数据-取费表'!B22&lt;=1,ROUND(C19*F24*F23/2,0)+ROUND(C20*F24*F23/2,0),ROUND(C19*(POWER((1+F24),F23/2)-1),0)+ROUND(C20*(POWER((1+F24),F23/2)-1),0))</f>
        <v>4124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2.9999999999999997E-4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-319</v>
      </c>
      <c r="K25" s="1032" t="s">
        <v>753</v>
      </c>
      <c r="L25" s="1033"/>
      <c r="M25" s="1034"/>
    </row>
    <row r="26" spans="1:37" ht="18" customHeight="1">
      <c r="A26" s="928" t="s">
        <v>397</v>
      </c>
      <c r="B26" s="294" t="s">
        <v>754</v>
      </c>
      <c r="C26" s="21">
        <f ca="1">ROUND((C19+C20)*F26,0)</f>
        <v>13174</v>
      </c>
      <c r="D26" s="315" t="s">
        <v>755</v>
      </c>
      <c r="E26" s="305" t="s">
        <v>756</v>
      </c>
      <c r="F26" s="304">
        <f ca="1">INDIRECT("'数据-取费表'!q"&amp;$G$1)</f>
        <v>0.1</v>
      </c>
      <c r="G26" s="1292"/>
      <c r="H26" s="291" t="s">
        <v>395</v>
      </c>
      <c r="I26" s="292" t="s">
        <v>757</v>
      </c>
      <c r="J26" s="293">
        <f ca="1">IF(J5&lt;&gt;0,ROUND(J25*(1-((1+M28)/(1+M26))^M27)/(M26-M28),0),0)</f>
        <v>0</v>
      </c>
      <c r="K26" s="316" t="s">
        <v>758</v>
      </c>
      <c r="L26" s="294" t="s">
        <v>759</v>
      </c>
      <c r="M26" s="304">
        <f ca="1">INDIRECT("'数据-取费表'!I"&amp;$G$1)</f>
        <v>0.05</v>
      </c>
    </row>
    <row r="27" spans="1:37" ht="18" customHeight="1">
      <c r="A27" s="928" t="s">
        <v>399</v>
      </c>
      <c r="B27" s="294" t="s">
        <v>760</v>
      </c>
      <c r="C27" s="21">
        <f ca="1">ROUND(F21*F26,4)</f>
        <v>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159334</v>
      </c>
      <c r="D29" s="1029"/>
      <c r="E29" s="1027"/>
      <c r="F29" s="1030"/>
      <c r="G29" s="1303"/>
      <c r="H29" s="325" t="s">
        <v>396</v>
      </c>
      <c r="I29" s="326" t="s">
        <v>768</v>
      </c>
      <c r="J29" s="327">
        <f ca="1">ROUND(J26/(1+F40)^F41,0)</f>
        <v>0</v>
      </c>
      <c r="K29" s="328" t="s">
        <v>769</v>
      </c>
      <c r="L29" s="329"/>
      <c r="M29" s="330">
        <f ca="1">INDIRECT("'数据-取费表'!k"&amp;$G$1)</f>
        <v>32.74</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4322</v>
      </c>
      <c r="D30" s="1024" t="s">
        <v>715</v>
      </c>
      <c r="E30" s="1025"/>
      <c r="F30" s="1009"/>
      <c r="G30" s="1292"/>
      <c r="H30" s="2469"/>
      <c r="I30" s="1305"/>
      <c r="J30" s="1306"/>
      <c r="K30" s="121"/>
      <c r="L30" s="2470"/>
      <c r="M30" s="2471"/>
    </row>
    <row r="31" spans="1:37" ht="18" customHeight="1">
      <c r="A31" s="928" t="s">
        <v>398</v>
      </c>
      <c r="B31" s="294" t="s">
        <v>719</v>
      </c>
      <c r="C31" s="2138">
        <f ca="1">ROUND(IF(AND(项目基本情况!B11="自然人",项目基本情况!B10="北京市"),C6*F31/(1+'数据-取费表'!C42),C32+C33+C34),0)</f>
        <v>3370</v>
      </c>
      <c r="D31" s="1257" t="s">
        <v>720</v>
      </c>
      <c r="E31" s="1256" t="s">
        <v>770</v>
      </c>
      <c r="F31" s="2137">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0</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319</v>
      </c>
      <c r="D36" s="1256" t="s">
        <v>771</v>
      </c>
      <c r="E36" s="294" t="s">
        <v>712</v>
      </c>
      <c r="F36" s="320">
        <f ca="1">INDIRECT("'数据-取费表'!Ak"&amp;$G$1)</f>
        <v>2E-3</v>
      </c>
      <c r="G36" s="1292"/>
      <c r="H36" s="2472"/>
      <c r="I36" s="1305"/>
      <c r="J36" s="1306"/>
      <c r="K36" s="2329"/>
      <c r="L36" s="2472"/>
      <c r="M36" s="2472"/>
    </row>
    <row r="37" spans="1:18" ht="18" customHeight="1">
      <c r="A37" s="928" t="s">
        <v>437</v>
      </c>
      <c r="B37" s="294" t="s">
        <v>742</v>
      </c>
      <c r="C37" s="21">
        <f ca="1">ROUND(C13*F37,0)</f>
        <v>127</v>
      </c>
      <c r="D37" s="1256" t="s">
        <v>743</v>
      </c>
      <c r="E37" s="294" t="s">
        <v>744</v>
      </c>
      <c r="F37" s="321">
        <f ca="1">INDIRECT("'数据-取费表'!Al"&amp;$G$1)</f>
        <v>1E-3</v>
      </c>
      <c r="G37" s="1292"/>
      <c r="H37" s="2472"/>
      <c r="I37" s="1305"/>
      <c r="J37" s="1306"/>
      <c r="K37" s="2329"/>
      <c r="L37" s="2472"/>
      <c r="M37" s="2472"/>
    </row>
    <row r="38" spans="1:18" ht="18" customHeight="1" thickBot="1">
      <c r="A38" s="1026" t="s">
        <v>684</v>
      </c>
      <c r="B38" s="1027" t="s">
        <v>728</v>
      </c>
      <c r="C38" s="1028">
        <f ca="1">ROUND(C5*F38,0)</f>
        <v>506</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46290</v>
      </c>
      <c r="D39" s="1032" t="s">
        <v>773</v>
      </c>
      <c r="E39" s="1033"/>
      <c r="F39" s="1034"/>
      <c r="G39" s="1292"/>
      <c r="H39" s="2472"/>
      <c r="I39" s="1305"/>
      <c r="J39" s="1306"/>
      <c r="K39" s="2470"/>
      <c r="L39" s="2472"/>
      <c r="M39" s="2472"/>
    </row>
    <row r="40" spans="1:18" ht="18" customHeight="1">
      <c r="A40" s="291" t="s">
        <v>395</v>
      </c>
      <c r="B40" s="292" t="s">
        <v>774</v>
      </c>
      <c r="C40" s="293">
        <f ca="1">ROUND(C39*(1-((1+F42)/(1+F40))^F41)/(F40-F42),0)</f>
        <v>626885</v>
      </c>
      <c r="D40" s="316" t="s">
        <v>758</v>
      </c>
      <c r="E40" s="294" t="s">
        <v>759</v>
      </c>
      <c r="F40" s="304">
        <f ca="1">INDIRECT("'数据-取费表'!I"&amp;$G$1)</f>
        <v>0.05</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18.95</v>
      </c>
      <c r="G41" s="1292"/>
      <c r="H41" s="121"/>
      <c r="I41" s="1305"/>
      <c r="J41" s="1306"/>
      <c r="K41" s="2329"/>
      <c r="L41" s="121"/>
      <c r="M41" s="121"/>
    </row>
    <row r="42" spans="1:18" ht="18" customHeight="1">
      <c r="A42" s="300"/>
      <c r="B42" s="301"/>
      <c r="C42" s="302"/>
      <c r="D42" s="319"/>
      <c r="E42" s="294" t="s">
        <v>766</v>
      </c>
      <c r="F42" s="304">
        <f ca="1">INDIRECT("'数据-取费表'!v"&amp;$G$1)</f>
        <v>1.4999999999999999E-2</v>
      </c>
      <c r="G42" s="1292"/>
      <c r="H42" s="121"/>
      <c r="I42" s="1305"/>
      <c r="J42" s="1306"/>
      <c r="K42" s="2329"/>
      <c r="L42" s="121"/>
      <c r="M42" s="121"/>
    </row>
    <row r="43" spans="1:18" ht="18" customHeight="1" thickBot="1">
      <c r="A43" s="325" t="s">
        <v>396</v>
      </c>
      <c r="B43" s="326" t="s">
        <v>776</v>
      </c>
      <c r="C43" s="327">
        <f ca="1">ROUND(C40/F43,0)</f>
        <v>19147</v>
      </c>
      <c r="D43" s="328" t="s">
        <v>777</v>
      </c>
      <c r="E43" s="329" t="s">
        <v>778</v>
      </c>
      <c r="F43" s="330">
        <f ca="1">INDIRECT("'数据-取费表'!k"&amp;$G$1)</f>
        <v>32.74</v>
      </c>
      <c r="G43" s="1292"/>
      <c r="H43" s="121"/>
      <c r="I43" s="121"/>
      <c r="J43" s="121"/>
      <c r="K43" s="2329"/>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-63.226599999999998</v>
      </c>
      <c r="D45" s="3129" t="s">
        <v>3351</v>
      </c>
      <c r="E45" s="1307"/>
      <c r="F45" s="1307"/>
      <c r="O45" s="1310" t="s">
        <v>808</v>
      </c>
      <c r="P45" s="1366"/>
      <c r="Q45" s="1366"/>
      <c r="R45" s="1366"/>
    </row>
    <row r="46" spans="1:18" s="1292" customFormat="1" ht="13.5" thickBot="1">
      <c r="A46" s="1311" t="s">
        <v>809</v>
      </c>
      <c r="C46" s="1312">
        <f ca="1">ROUND(C45,0)</f>
        <v>-63</v>
      </c>
      <c r="D46" s="1313" t="str">
        <f>C2</f>
        <v>万元</v>
      </c>
      <c r="I46" s="1314" t="s">
        <v>810</v>
      </c>
      <c r="J46" s="1315"/>
      <c r="K46" s="1316"/>
      <c r="L46" s="1317">
        <f ca="1">IF(M47="住宅",0,IF(L48&gt;J51,L60,J60))</f>
        <v>25071</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3475</v>
      </c>
      <c r="K47" s="1323" t="s">
        <v>816</v>
      </c>
      <c r="L47" s="1324">
        <f ca="1">INDIRECT("'数据-取费表'!d"&amp;$G$1)</f>
        <v>40</v>
      </c>
      <c r="M47" s="1288" t="str">
        <f>IF(ISNUMBER(FIND("住宅",C1)),"住宅","非住宅")</f>
        <v>非住宅</v>
      </c>
      <c r="O47" s="1325" t="s">
        <v>403</v>
      </c>
      <c r="P47" s="1326" t="s">
        <v>817</v>
      </c>
      <c r="Q47" s="1327">
        <f ca="1">C40+J29</f>
        <v>626885</v>
      </c>
      <c r="R47" s="1327" t="s">
        <v>818</v>
      </c>
    </row>
    <row r="48" spans="1:18" s="1292" customFormat="1" ht="28.5" thickBot="1">
      <c r="A48" s="1047" t="s">
        <v>438</v>
      </c>
      <c r="B48" s="292" t="s">
        <v>692</v>
      </c>
      <c r="C48" s="1268">
        <f ca="1">C49+C53+C55</f>
        <v>0</v>
      </c>
      <c r="D48" s="1049"/>
      <c r="E48" s="1050"/>
      <c r="F48" s="908"/>
      <c r="G48" s="681"/>
      <c r="H48" s="682"/>
      <c r="I48" s="1328" t="s">
        <v>819</v>
      </c>
      <c r="J48" s="1329" t="s">
        <v>3476</v>
      </c>
      <c r="K48" s="1330" t="s">
        <v>820</v>
      </c>
      <c r="L48" s="1331">
        <f ca="1">INDIRECT("'数据-取费表'!f"&amp;$G$1)</f>
        <v>18.95</v>
      </c>
      <c r="O48" s="1325" t="s">
        <v>404</v>
      </c>
      <c r="P48" s="1326" t="s">
        <v>821</v>
      </c>
      <c r="Q48" s="1327">
        <f ca="1">J60</f>
        <v>25071</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v>2010</v>
      </c>
      <c r="K49" s="1330" t="s">
        <v>824</v>
      </c>
      <c r="L49" s="1333"/>
      <c r="O49" s="1334" t="s">
        <v>405</v>
      </c>
      <c r="P49" s="1326" t="s">
        <v>825</v>
      </c>
      <c r="Q49" s="1327">
        <f ca="1">C29</f>
        <v>159334</v>
      </c>
      <c r="R49" s="1327" t="s">
        <v>818</v>
      </c>
    </row>
    <row r="50" spans="1:18" s="1292" customFormat="1" ht="13.5" thickBot="1">
      <c r="A50" s="922"/>
      <c r="B50" s="925"/>
      <c r="C50" s="926"/>
      <c r="D50" s="899"/>
      <c r="E50" s="993" t="s">
        <v>697</v>
      </c>
      <c r="F50" s="994">
        <f ca="1">F7</f>
        <v>32.74</v>
      </c>
      <c r="H50" s="682"/>
      <c r="I50" s="1328" t="s">
        <v>826</v>
      </c>
      <c r="J50" s="1335">
        <f>SUMPRODUCT((I63:I65=J47)*(J62:L62=J48)*(J63:L65))</f>
        <v>60</v>
      </c>
      <c r="K50" s="1330" t="s">
        <v>827</v>
      </c>
      <c r="L50" s="1333"/>
      <c r="M50" s="1336"/>
      <c r="O50" s="1334" t="s">
        <v>406</v>
      </c>
      <c r="P50" s="1326" t="s">
        <v>828</v>
      </c>
      <c r="Q50" s="1337">
        <f ca="1">J58</f>
        <v>0.434</v>
      </c>
      <c r="R50" s="1327"/>
    </row>
    <row r="51" spans="1:18" s="1292" customFormat="1" ht="13.5" thickBot="1">
      <c r="A51" s="923"/>
      <c r="B51" s="925"/>
      <c r="C51" s="926"/>
      <c r="D51" s="899"/>
      <c r="E51" s="927" t="s">
        <v>698</v>
      </c>
      <c r="F51" s="295">
        <f ca="1">F8</f>
        <v>365</v>
      </c>
      <c r="I51" s="1338" t="s">
        <v>829</v>
      </c>
      <c r="J51" s="1331">
        <f>IF(J49="",J50,J49+J50-YEAR('数据-取费表'!B2))</f>
        <v>45</v>
      </c>
      <c r="K51" s="1339" t="s">
        <v>830</v>
      </c>
      <c r="L51" s="1340">
        <f ca="1">ROUND(-PV(INDIRECT("'数据-取费表'!h"&amp;$G$1),J51,(C39-C13*C76),0),0)</f>
        <v>752448</v>
      </c>
      <c r="M51" s="1341"/>
      <c r="O51" s="1334" t="s">
        <v>407</v>
      </c>
      <c r="P51" s="1326" t="s">
        <v>831</v>
      </c>
      <c r="Q51" s="1337">
        <f>J52</f>
        <v>5.5E-2</v>
      </c>
      <c r="R51" s="1327"/>
    </row>
    <row r="52" spans="1:18" s="1292" customFormat="1" ht="13.5" thickBot="1">
      <c r="A52" s="923"/>
      <c r="B52" s="925"/>
      <c r="C52" s="926"/>
      <c r="D52" s="899"/>
      <c r="E52" s="927" t="s">
        <v>699</v>
      </c>
      <c r="F52" s="991"/>
      <c r="I52" s="1342" t="s">
        <v>832</v>
      </c>
      <c r="J52" s="1343">
        <f>'数据-取费表'!J6</f>
        <v>5.5E-2</v>
      </c>
      <c r="K52" s="1342" t="s">
        <v>833</v>
      </c>
      <c r="L52" s="1343"/>
      <c r="O52" s="1334" t="s">
        <v>408</v>
      </c>
      <c r="P52" s="1326" t="s">
        <v>834</v>
      </c>
      <c r="Q52" s="1327">
        <f ca="1">J53</f>
        <v>18.95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4">
        <f ca="1">IF(M47="住宅",IF(D1="——",MAX(J51,L48),MAX(J51,L48-'数据-取费表'!B24)),IF(D1="——",MIN(J51,L48),MIN(J51,L48-'数据-取费表'!B24)))</f>
        <v>18.95</v>
      </c>
      <c r="K53" s="3367" t="s">
        <v>837</v>
      </c>
      <c r="L53" s="3368"/>
      <c r="O53" s="1325" t="s">
        <v>409</v>
      </c>
      <c r="P53" s="1326" t="s">
        <v>838</v>
      </c>
      <c r="Q53" s="1327">
        <f ca="1">Q47+Q48</f>
        <v>651956</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0.434</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127467</v>
      </c>
      <c r="D56" s="1352"/>
      <c r="E56" s="1353"/>
      <c r="F56" s="1345"/>
      <c r="I56" s="1354" t="s">
        <v>842</v>
      </c>
      <c r="J56" s="1355" t="s">
        <v>3477</v>
      </c>
      <c r="K56" s="1328" t="s">
        <v>843</v>
      </c>
      <c r="L56" s="1331" t="str">
        <f ca="1">IF(L48&lt;J51,"——",L48-J51)</f>
        <v>——</v>
      </c>
      <c r="O56" s="1325" t="s">
        <v>403</v>
      </c>
      <c r="P56" s="1326" t="s">
        <v>817</v>
      </c>
      <c r="Q56" s="1327">
        <f ca="1">C40+J29</f>
        <v>626885</v>
      </c>
      <c r="R56" s="1327" t="s">
        <v>818</v>
      </c>
    </row>
    <row r="57" spans="1:18" s="1292" customFormat="1" ht="24.75" thickBot="1">
      <c r="A57" s="1356"/>
      <c r="B57" s="896" t="s">
        <v>767</v>
      </c>
      <c r="C57" s="230">
        <f ca="1">C29</f>
        <v>159334</v>
      </c>
      <c r="D57" s="1357"/>
      <c r="E57" s="1358"/>
      <c r="F57" s="1359"/>
      <c r="I57" s="1360" t="s">
        <v>844</v>
      </c>
      <c r="J57" s="1361">
        <f ca="1">IF(OR(M47="住宅",J51&lt;L48,J56="是"),"——",J51-L48)</f>
        <v>26.05</v>
      </c>
      <c r="K57" s="1328" t="s">
        <v>892</v>
      </c>
      <c r="L57" s="1331" t="str">
        <f ca="1">IF(L48&lt;J51,"——",IF(L55="比较法",L49,IF(L55="基准地价",L50,L51)))</f>
        <v>——</v>
      </c>
      <c r="O57" s="1325" t="s">
        <v>404</v>
      </c>
      <c r="P57" s="1326" t="s">
        <v>893</v>
      </c>
      <c r="Q57" s="1327">
        <f ca="1">L60</f>
        <v>0</v>
      </c>
      <c r="R57" s="1327" t="s">
        <v>894</v>
      </c>
    </row>
    <row r="58" spans="1:18" s="1292" customFormat="1" ht="24.75" thickBot="1">
      <c r="A58" s="307" t="s">
        <v>393</v>
      </c>
      <c r="B58" s="904" t="s">
        <v>714</v>
      </c>
      <c r="C58" s="308">
        <f ca="1">ROUND(C59+C64+C65+C66,0)</f>
        <v>446</v>
      </c>
      <c r="D58" s="906" t="s">
        <v>715</v>
      </c>
      <c r="E58" s="907"/>
      <c r="F58" s="908"/>
      <c r="I58" s="1360" t="s">
        <v>848</v>
      </c>
      <c r="J58" s="1362">
        <f ca="1">IF(J55&lt;0.4,0.4,J55)</f>
        <v>0.434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75" thickBot="1">
      <c r="A59" s="928" t="s">
        <v>398</v>
      </c>
      <c r="B59" s="896" t="s">
        <v>719</v>
      </c>
      <c r="C59" s="2138">
        <f ca="1">ROUND(IF(AND(项目基本情况!B11="自然人",项目基本情况!B10="北京市"),C49*F59/(1+'数据-取费表'!C42),C60+C61+C62),0)</f>
        <v>0</v>
      </c>
      <c r="D59" s="909" t="s">
        <v>720</v>
      </c>
      <c r="E59" s="910" t="s">
        <v>721</v>
      </c>
      <c r="F59" s="2137">
        <f ca="1">IF(项目基本情况!B11="企业","——",IF('数据-取费表'!B10="住宅",IF(F49*F50*F51/12/(1+'数据-取费表'!F30)&gt;100000,4%,2.5%),IF(F49*F50*F51/12/(1+'数据-取费表'!F30)&gt;100000,12%,7%)))</f>
        <v>7.0000000000000007E-2</v>
      </c>
      <c r="I59" s="1360" t="s">
        <v>851</v>
      </c>
      <c r="J59" s="1361">
        <f ca="1">IF(OR(M47="住宅",J51&lt;L48,J56="是"),"——",ROUND(C29*J58,0))</f>
        <v>69151</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5"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25071</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0</v>
      </c>
      <c r="I62" s="1367" t="s">
        <v>858</v>
      </c>
      <c r="J62" s="610" t="s">
        <v>859</v>
      </c>
      <c r="K62" s="610" t="s">
        <v>860</v>
      </c>
      <c r="L62" s="610" t="s">
        <v>861</v>
      </c>
      <c r="M62" s="1368" t="s">
        <v>862</v>
      </c>
      <c r="O62" s="1325" t="s">
        <v>409</v>
      </c>
      <c r="P62" s="1326" t="s">
        <v>863</v>
      </c>
      <c r="Q62" s="1327">
        <f ca="1">Q56+Q57</f>
        <v>626885</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319</v>
      </c>
      <c r="D64" s="910" t="s">
        <v>791</v>
      </c>
      <c r="E64" s="896" t="s">
        <v>783</v>
      </c>
      <c r="F64" s="320">
        <f t="shared" ca="1" si="0"/>
        <v>2E-3</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127</v>
      </c>
      <c r="D65" s="910" t="s">
        <v>743</v>
      </c>
      <c r="E65" s="896" t="s">
        <v>744</v>
      </c>
      <c r="F65" s="321">
        <f t="shared" ca="1" si="0"/>
        <v>1E-3</v>
      </c>
      <c r="I65" s="1367" t="s">
        <v>867</v>
      </c>
      <c r="J65" s="610">
        <v>40</v>
      </c>
      <c r="K65" s="610">
        <v>30</v>
      </c>
      <c r="L65" s="610">
        <v>50</v>
      </c>
      <c r="M65" s="1369">
        <v>0.02</v>
      </c>
      <c r="O65" s="1325" t="s">
        <v>403</v>
      </c>
      <c r="P65" s="1326" t="s">
        <v>868</v>
      </c>
      <c r="Q65" s="1327">
        <f ca="1">C40+J29</f>
        <v>626885</v>
      </c>
      <c r="R65" s="1327" t="s">
        <v>818</v>
      </c>
    </row>
    <row r="66" spans="1:18" s="1292" customFormat="1" ht="16.5"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16.5" thickBot="1">
      <c r="A67" s="903" t="s">
        <v>394</v>
      </c>
      <c r="B67" s="913" t="s">
        <v>752</v>
      </c>
      <c r="C67" s="308">
        <f ca="1">C48-C58</f>
        <v>-446</v>
      </c>
      <c r="D67" s="909" t="s">
        <v>753</v>
      </c>
      <c r="E67" s="914"/>
      <c r="F67" s="915"/>
      <c r="O67" s="1334" t="s">
        <v>405</v>
      </c>
      <c r="P67" s="1326" t="s">
        <v>850</v>
      </c>
      <c r="Q67" s="1370">
        <f ca="1">L51</f>
        <v>752448</v>
      </c>
      <c r="R67" s="1327" t="s">
        <v>870</v>
      </c>
    </row>
    <row r="68" spans="1:18" s="1292" customFormat="1" ht="16.5" thickBot="1">
      <c r="A68" s="893" t="s">
        <v>395</v>
      </c>
      <c r="B68" s="894" t="s">
        <v>774</v>
      </c>
      <c r="C68" s="293">
        <f ca="1">ROUND(C67*(1-((1+F70)/(1+F68))^F69)/(F68-F70),0)</f>
        <v>-5381</v>
      </c>
      <c r="D68" s="911" t="s">
        <v>758</v>
      </c>
      <c r="E68" s="896" t="s">
        <v>759</v>
      </c>
      <c r="F68" s="304">
        <f ca="1">F40</f>
        <v>0.05</v>
      </c>
      <c r="O68" s="1334" t="s">
        <v>406</v>
      </c>
      <c r="P68" s="1371" t="s">
        <v>871</v>
      </c>
      <c r="Q68" s="1327">
        <f ca="1">ROUND(Q69-Q70*Q71,0)</f>
        <v>39279</v>
      </c>
      <c r="R68" s="1327" t="s">
        <v>414</v>
      </c>
    </row>
    <row r="69" spans="1:18" s="1292" customFormat="1" ht="13.5" thickBot="1">
      <c r="A69" s="897"/>
      <c r="B69" s="898"/>
      <c r="C69" s="298"/>
      <c r="D69" s="916" t="s">
        <v>762</v>
      </c>
      <c r="E69" s="896" t="s">
        <v>763</v>
      </c>
      <c r="F69" s="324">
        <f ca="1">F41</f>
        <v>18.95</v>
      </c>
      <c r="O69" s="1334" t="s">
        <v>411</v>
      </c>
      <c r="P69" s="1371" t="s">
        <v>872</v>
      </c>
      <c r="Q69" s="1327">
        <f ca="1">C39</f>
        <v>46290</v>
      </c>
      <c r="R69" s="1327" t="s">
        <v>818</v>
      </c>
    </row>
    <row r="70" spans="1:18" s="1292" customFormat="1" ht="13.5" thickBot="1">
      <c r="A70" s="900"/>
      <c r="B70" s="901"/>
      <c r="C70" s="302"/>
      <c r="D70" s="912"/>
      <c r="E70" s="896" t="s">
        <v>766</v>
      </c>
      <c r="F70" s="991"/>
      <c r="O70" s="1334" t="s">
        <v>412</v>
      </c>
      <c r="P70" s="1371" t="s">
        <v>873</v>
      </c>
      <c r="Q70" s="1327">
        <f ca="1">C13</f>
        <v>127467</v>
      </c>
      <c r="R70" s="1327" t="s">
        <v>818</v>
      </c>
    </row>
    <row r="71" spans="1:18" s="1292" customFormat="1" ht="13.5" thickBot="1">
      <c r="A71" s="917" t="s">
        <v>396</v>
      </c>
      <c r="B71" s="918" t="s">
        <v>776</v>
      </c>
      <c r="C71" s="327">
        <f ca="1">ROUND(C68/F71,0)</f>
        <v>-164</v>
      </c>
      <c r="D71" s="919" t="s">
        <v>777</v>
      </c>
      <c r="E71" s="920" t="s">
        <v>778</v>
      </c>
      <c r="F71" s="330">
        <f ca="1">F43</f>
        <v>32.74</v>
      </c>
      <c r="O71" s="1334" t="s">
        <v>413</v>
      </c>
      <c r="P71" s="1371" t="s">
        <v>874</v>
      </c>
      <c r="Q71" s="1337">
        <f ca="1">C76</f>
        <v>5.5E-2</v>
      </c>
      <c r="R71" s="1327"/>
    </row>
    <row r="72" spans="1:18" s="1292" customFormat="1" ht="13.5" thickBot="1">
      <c r="B72" s="685"/>
      <c r="C72" s="685"/>
      <c r="O72" s="1334" t="s">
        <v>407</v>
      </c>
      <c r="P72" s="1326" t="s">
        <v>852</v>
      </c>
      <c r="Q72" s="1337">
        <f>L52</f>
        <v>0</v>
      </c>
      <c r="R72" s="1327"/>
    </row>
    <row r="73" spans="1:18" ht="16.5"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7011</v>
      </c>
      <c r="D75" s="1292"/>
      <c r="E75" s="1292"/>
      <c r="F75" s="1292"/>
      <c r="K75" s="1309"/>
      <c r="L75" s="1292"/>
      <c r="O75" s="1325" t="s">
        <v>409</v>
      </c>
      <c r="P75" s="1326" t="s">
        <v>838</v>
      </c>
      <c r="Q75" s="1327">
        <f ca="1">Q65+Q66</f>
        <v>626885</v>
      </c>
      <c r="R75" s="1327" t="s">
        <v>410</v>
      </c>
    </row>
    <row r="76" spans="1:18">
      <c r="B76" s="333" t="s">
        <v>796</v>
      </c>
      <c r="C76" s="334">
        <f ca="1">INDIRECT("'数据-取费表'!j"&amp;$G$1)</f>
        <v>5.5E-2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0.84899999999999998</v>
      </c>
    </row>
    <row r="80" spans="1:18">
      <c r="B80" s="331" t="s">
        <v>800</v>
      </c>
      <c r="C80" s="266">
        <f ca="1">ROUND(C75/C39,3)</f>
        <v>0.151</v>
      </c>
    </row>
    <row r="81" spans="2:3">
      <c r="B81" s="262" t="s">
        <v>801</v>
      </c>
      <c r="C81" s="230"/>
    </row>
    <row r="82" spans="2:3">
      <c r="B82" s="265" t="s">
        <v>802</v>
      </c>
      <c r="C82" s="267">
        <f ca="1">1-C83</f>
        <v>0.79699999999999993</v>
      </c>
    </row>
    <row r="83" spans="2:3">
      <c r="B83" s="265" t="s">
        <v>803</v>
      </c>
      <c r="C83" s="266">
        <f ca="1">ROUND(C13/C40,3)</f>
        <v>0.20300000000000001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40" priority="3">
      <formula>$F$10="自定义"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J11">
    <cfRule type="expression" dxfId="137" priority="2">
      <formula>$M$10="自定义"</formula>
    </cfRule>
  </conditionalFormatting>
  <conditionalFormatting sqref="K55 K60">
    <cfRule type="expression" dxfId="136"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15" customHeight="1"/>
  <cols>
    <col min="1" max="1" width="9.5" style="2592" customWidth="1"/>
    <col min="2" max="2" width="8.875" style="2592"/>
    <col min="3" max="5" width="12.875" style="2592" customWidth="1"/>
    <col min="6" max="6" width="47.5" style="2592" customWidth="1"/>
    <col min="7" max="7" width="13" style="2586" customWidth="1"/>
    <col min="8" max="8" width="8.875" style="2586"/>
    <col min="9" max="9" width="8.875" style="2587"/>
    <col min="10" max="10" width="5.75" style="2746" customWidth="1"/>
    <col min="11" max="11" width="11.75" style="2746" customWidth="1"/>
    <col min="12" max="13" width="10.75" style="2746" customWidth="1"/>
    <col min="14" max="14" width="10" style="2746" customWidth="1"/>
    <col min="15" max="16" width="10.5" style="2746" bestFit="1" customWidth="1"/>
    <col min="17" max="17" width="10" style="2746" customWidth="1"/>
    <col min="18" max="18" width="10.125" style="2746" customWidth="1"/>
    <col min="19" max="19" width="10" style="2746" customWidth="1"/>
    <col min="20" max="20" width="26.125" style="2746" customWidth="1"/>
    <col min="21" max="21" width="8.875" style="2746"/>
    <col min="22" max="22" width="8.875" style="2587"/>
    <col min="23" max="256" width="8.875" style="2592"/>
    <col min="257" max="257" width="9.5" style="2592" customWidth="1"/>
    <col min="258" max="258" width="8.875" style="2592"/>
    <col min="259" max="261" width="12.875" style="2592" customWidth="1"/>
    <col min="262" max="262" width="47.5" style="2592" customWidth="1"/>
    <col min="263" max="263" width="13" style="2592" customWidth="1"/>
    <col min="264" max="265" width="8.875" style="2592"/>
    <col min="266" max="266" width="5.75" style="2592" customWidth="1"/>
    <col min="267" max="267" width="11.75" style="2592" customWidth="1"/>
    <col min="268" max="269" width="10.75" style="2592" customWidth="1"/>
    <col min="270" max="270" width="10" style="2592" customWidth="1"/>
    <col min="271" max="272" width="10.5" style="2592" bestFit="1" customWidth="1"/>
    <col min="273" max="273" width="10" style="2592" customWidth="1"/>
    <col min="274" max="274" width="10.125" style="2592" customWidth="1"/>
    <col min="275" max="275" width="10" style="2592" customWidth="1"/>
    <col min="276" max="276" width="26.125" style="2592" customWidth="1"/>
    <col min="277" max="512" width="8.875" style="2592"/>
    <col min="513" max="513" width="9.5" style="2592" customWidth="1"/>
    <col min="514" max="514" width="8.875" style="2592"/>
    <col min="515" max="517" width="12.875" style="2592" customWidth="1"/>
    <col min="518" max="518" width="47.5" style="2592" customWidth="1"/>
    <col min="519" max="519" width="13" style="2592" customWidth="1"/>
    <col min="520" max="521" width="8.875" style="2592"/>
    <col min="522" max="522" width="5.75" style="2592" customWidth="1"/>
    <col min="523" max="523" width="11.75" style="2592" customWidth="1"/>
    <col min="524" max="525" width="10.75" style="2592" customWidth="1"/>
    <col min="526" max="526" width="10" style="2592" customWidth="1"/>
    <col min="527" max="528" width="10.5" style="2592" bestFit="1" customWidth="1"/>
    <col min="529" max="529" width="10" style="2592" customWidth="1"/>
    <col min="530" max="530" width="10.125" style="2592" customWidth="1"/>
    <col min="531" max="531" width="10" style="2592" customWidth="1"/>
    <col min="532" max="532" width="26.125" style="2592" customWidth="1"/>
    <col min="533" max="768" width="8.875" style="2592"/>
    <col min="769" max="769" width="9.5" style="2592" customWidth="1"/>
    <col min="770" max="770" width="8.875" style="2592"/>
    <col min="771" max="773" width="12.875" style="2592" customWidth="1"/>
    <col min="774" max="774" width="47.5" style="2592" customWidth="1"/>
    <col min="775" max="775" width="13" style="2592" customWidth="1"/>
    <col min="776" max="777" width="8.875" style="2592"/>
    <col min="778" max="778" width="5.75" style="2592" customWidth="1"/>
    <col min="779" max="779" width="11.75" style="2592" customWidth="1"/>
    <col min="780" max="781" width="10.75" style="2592" customWidth="1"/>
    <col min="782" max="782" width="10" style="2592" customWidth="1"/>
    <col min="783" max="784" width="10.5" style="2592" bestFit="1" customWidth="1"/>
    <col min="785" max="785" width="10" style="2592" customWidth="1"/>
    <col min="786" max="786" width="10.125" style="2592" customWidth="1"/>
    <col min="787" max="787" width="10" style="2592" customWidth="1"/>
    <col min="788" max="788" width="26.125" style="2592" customWidth="1"/>
    <col min="789" max="1024" width="8.875" style="2592"/>
    <col min="1025" max="1025" width="9.5" style="2592" customWidth="1"/>
    <col min="1026" max="1026" width="8.875" style="2592"/>
    <col min="1027" max="1029" width="12.875" style="2592" customWidth="1"/>
    <col min="1030" max="1030" width="47.5" style="2592" customWidth="1"/>
    <col min="1031" max="1031" width="13" style="2592" customWidth="1"/>
    <col min="1032" max="1033" width="8.875" style="2592"/>
    <col min="1034" max="1034" width="5.75" style="2592" customWidth="1"/>
    <col min="1035" max="1035" width="11.75" style="2592" customWidth="1"/>
    <col min="1036" max="1037" width="10.75" style="2592" customWidth="1"/>
    <col min="1038" max="1038" width="10" style="2592" customWidth="1"/>
    <col min="1039" max="1040" width="10.5" style="2592" bestFit="1" customWidth="1"/>
    <col min="1041" max="1041" width="10" style="2592" customWidth="1"/>
    <col min="1042" max="1042" width="10.125" style="2592" customWidth="1"/>
    <col min="1043" max="1043" width="10" style="2592" customWidth="1"/>
    <col min="1044" max="1044" width="26.125" style="2592" customWidth="1"/>
    <col min="1045" max="1280" width="8.875" style="2592"/>
    <col min="1281" max="1281" width="9.5" style="2592" customWidth="1"/>
    <col min="1282" max="1282" width="8.875" style="2592"/>
    <col min="1283" max="1285" width="12.875" style="2592" customWidth="1"/>
    <col min="1286" max="1286" width="47.5" style="2592" customWidth="1"/>
    <col min="1287" max="1287" width="13" style="2592" customWidth="1"/>
    <col min="1288" max="1289" width="8.875" style="2592"/>
    <col min="1290" max="1290" width="5.75" style="2592" customWidth="1"/>
    <col min="1291" max="1291" width="11.75" style="2592" customWidth="1"/>
    <col min="1292" max="1293" width="10.75" style="2592" customWidth="1"/>
    <col min="1294" max="1294" width="10" style="2592" customWidth="1"/>
    <col min="1295" max="1296" width="10.5" style="2592" bestFit="1" customWidth="1"/>
    <col min="1297" max="1297" width="10" style="2592" customWidth="1"/>
    <col min="1298" max="1298" width="10.125" style="2592" customWidth="1"/>
    <col min="1299" max="1299" width="10" style="2592" customWidth="1"/>
    <col min="1300" max="1300" width="26.125" style="2592" customWidth="1"/>
    <col min="1301" max="1536" width="8.875" style="2592"/>
    <col min="1537" max="1537" width="9.5" style="2592" customWidth="1"/>
    <col min="1538" max="1538" width="8.875" style="2592"/>
    <col min="1539" max="1541" width="12.875" style="2592" customWidth="1"/>
    <col min="1542" max="1542" width="47.5" style="2592" customWidth="1"/>
    <col min="1543" max="1543" width="13" style="2592" customWidth="1"/>
    <col min="1544" max="1545" width="8.875" style="2592"/>
    <col min="1546" max="1546" width="5.75" style="2592" customWidth="1"/>
    <col min="1547" max="1547" width="11.75" style="2592" customWidth="1"/>
    <col min="1548" max="1549" width="10.75" style="2592" customWidth="1"/>
    <col min="1550" max="1550" width="10" style="2592" customWidth="1"/>
    <col min="1551" max="1552" width="10.5" style="2592" bestFit="1" customWidth="1"/>
    <col min="1553" max="1553" width="10" style="2592" customWidth="1"/>
    <col min="1554" max="1554" width="10.125" style="2592" customWidth="1"/>
    <col min="1555" max="1555" width="10" style="2592" customWidth="1"/>
    <col min="1556" max="1556" width="26.125" style="2592" customWidth="1"/>
    <col min="1557" max="1792" width="8.875" style="2592"/>
    <col min="1793" max="1793" width="9.5" style="2592" customWidth="1"/>
    <col min="1794" max="1794" width="8.875" style="2592"/>
    <col min="1795" max="1797" width="12.875" style="2592" customWidth="1"/>
    <col min="1798" max="1798" width="47.5" style="2592" customWidth="1"/>
    <col min="1799" max="1799" width="13" style="2592" customWidth="1"/>
    <col min="1800" max="1801" width="8.875" style="2592"/>
    <col min="1802" max="1802" width="5.75" style="2592" customWidth="1"/>
    <col min="1803" max="1803" width="11.75" style="2592" customWidth="1"/>
    <col min="1804" max="1805" width="10.75" style="2592" customWidth="1"/>
    <col min="1806" max="1806" width="10" style="2592" customWidth="1"/>
    <col min="1807" max="1808" width="10.5" style="2592" bestFit="1" customWidth="1"/>
    <col min="1809" max="1809" width="10" style="2592" customWidth="1"/>
    <col min="1810" max="1810" width="10.125" style="2592" customWidth="1"/>
    <col min="1811" max="1811" width="10" style="2592" customWidth="1"/>
    <col min="1812" max="1812" width="26.125" style="2592" customWidth="1"/>
    <col min="1813" max="2048" width="8.875" style="2592"/>
    <col min="2049" max="2049" width="9.5" style="2592" customWidth="1"/>
    <col min="2050" max="2050" width="8.875" style="2592"/>
    <col min="2051" max="2053" width="12.875" style="2592" customWidth="1"/>
    <col min="2054" max="2054" width="47.5" style="2592" customWidth="1"/>
    <col min="2055" max="2055" width="13" style="2592" customWidth="1"/>
    <col min="2056" max="2057" width="8.875" style="2592"/>
    <col min="2058" max="2058" width="5.75" style="2592" customWidth="1"/>
    <col min="2059" max="2059" width="11.75" style="2592" customWidth="1"/>
    <col min="2060" max="2061" width="10.75" style="2592" customWidth="1"/>
    <col min="2062" max="2062" width="10" style="2592" customWidth="1"/>
    <col min="2063" max="2064" width="10.5" style="2592" bestFit="1" customWidth="1"/>
    <col min="2065" max="2065" width="10" style="2592" customWidth="1"/>
    <col min="2066" max="2066" width="10.125" style="2592" customWidth="1"/>
    <col min="2067" max="2067" width="10" style="2592" customWidth="1"/>
    <col min="2068" max="2068" width="26.125" style="2592" customWidth="1"/>
    <col min="2069" max="2304" width="8.875" style="2592"/>
    <col min="2305" max="2305" width="9.5" style="2592" customWidth="1"/>
    <col min="2306" max="2306" width="8.875" style="2592"/>
    <col min="2307" max="2309" width="12.875" style="2592" customWidth="1"/>
    <col min="2310" max="2310" width="47.5" style="2592" customWidth="1"/>
    <col min="2311" max="2311" width="13" style="2592" customWidth="1"/>
    <col min="2312" max="2313" width="8.875" style="2592"/>
    <col min="2314" max="2314" width="5.75" style="2592" customWidth="1"/>
    <col min="2315" max="2315" width="11.75" style="2592" customWidth="1"/>
    <col min="2316" max="2317" width="10.75" style="2592" customWidth="1"/>
    <col min="2318" max="2318" width="10" style="2592" customWidth="1"/>
    <col min="2319" max="2320" width="10.5" style="2592" bestFit="1" customWidth="1"/>
    <col min="2321" max="2321" width="10" style="2592" customWidth="1"/>
    <col min="2322" max="2322" width="10.125" style="2592" customWidth="1"/>
    <col min="2323" max="2323" width="10" style="2592" customWidth="1"/>
    <col min="2324" max="2324" width="26.125" style="2592" customWidth="1"/>
    <col min="2325" max="2560" width="8.875" style="2592"/>
    <col min="2561" max="2561" width="9.5" style="2592" customWidth="1"/>
    <col min="2562" max="2562" width="8.875" style="2592"/>
    <col min="2563" max="2565" width="12.875" style="2592" customWidth="1"/>
    <col min="2566" max="2566" width="47.5" style="2592" customWidth="1"/>
    <col min="2567" max="2567" width="13" style="2592" customWidth="1"/>
    <col min="2568" max="2569" width="8.875" style="2592"/>
    <col min="2570" max="2570" width="5.75" style="2592" customWidth="1"/>
    <col min="2571" max="2571" width="11.75" style="2592" customWidth="1"/>
    <col min="2572" max="2573" width="10.75" style="2592" customWidth="1"/>
    <col min="2574" max="2574" width="10" style="2592" customWidth="1"/>
    <col min="2575" max="2576" width="10.5" style="2592" bestFit="1" customWidth="1"/>
    <col min="2577" max="2577" width="10" style="2592" customWidth="1"/>
    <col min="2578" max="2578" width="10.125" style="2592" customWidth="1"/>
    <col min="2579" max="2579" width="10" style="2592" customWidth="1"/>
    <col min="2580" max="2580" width="26.125" style="2592" customWidth="1"/>
    <col min="2581" max="2816" width="8.875" style="2592"/>
    <col min="2817" max="2817" width="9.5" style="2592" customWidth="1"/>
    <col min="2818" max="2818" width="8.875" style="2592"/>
    <col min="2819" max="2821" width="12.875" style="2592" customWidth="1"/>
    <col min="2822" max="2822" width="47.5" style="2592" customWidth="1"/>
    <col min="2823" max="2823" width="13" style="2592" customWidth="1"/>
    <col min="2824" max="2825" width="8.875" style="2592"/>
    <col min="2826" max="2826" width="5.75" style="2592" customWidth="1"/>
    <col min="2827" max="2827" width="11.75" style="2592" customWidth="1"/>
    <col min="2828" max="2829" width="10.75" style="2592" customWidth="1"/>
    <col min="2830" max="2830" width="10" style="2592" customWidth="1"/>
    <col min="2831" max="2832" width="10.5" style="2592" bestFit="1" customWidth="1"/>
    <col min="2833" max="2833" width="10" style="2592" customWidth="1"/>
    <col min="2834" max="2834" width="10.125" style="2592" customWidth="1"/>
    <col min="2835" max="2835" width="10" style="2592" customWidth="1"/>
    <col min="2836" max="2836" width="26.125" style="2592" customWidth="1"/>
    <col min="2837" max="3072" width="8.875" style="2592"/>
    <col min="3073" max="3073" width="9.5" style="2592" customWidth="1"/>
    <col min="3074" max="3074" width="8.875" style="2592"/>
    <col min="3075" max="3077" width="12.875" style="2592" customWidth="1"/>
    <col min="3078" max="3078" width="47.5" style="2592" customWidth="1"/>
    <col min="3079" max="3079" width="13" style="2592" customWidth="1"/>
    <col min="3080" max="3081" width="8.875" style="2592"/>
    <col min="3082" max="3082" width="5.75" style="2592" customWidth="1"/>
    <col min="3083" max="3083" width="11.75" style="2592" customWidth="1"/>
    <col min="3084" max="3085" width="10.75" style="2592" customWidth="1"/>
    <col min="3086" max="3086" width="10" style="2592" customWidth="1"/>
    <col min="3087" max="3088" width="10.5" style="2592" bestFit="1" customWidth="1"/>
    <col min="3089" max="3089" width="10" style="2592" customWidth="1"/>
    <col min="3090" max="3090" width="10.125" style="2592" customWidth="1"/>
    <col min="3091" max="3091" width="10" style="2592" customWidth="1"/>
    <col min="3092" max="3092" width="26.125" style="2592" customWidth="1"/>
    <col min="3093" max="3328" width="8.875" style="2592"/>
    <col min="3329" max="3329" width="9.5" style="2592" customWidth="1"/>
    <col min="3330" max="3330" width="8.875" style="2592"/>
    <col min="3331" max="3333" width="12.875" style="2592" customWidth="1"/>
    <col min="3334" max="3334" width="47.5" style="2592" customWidth="1"/>
    <col min="3335" max="3335" width="13" style="2592" customWidth="1"/>
    <col min="3336" max="3337" width="8.875" style="2592"/>
    <col min="3338" max="3338" width="5.75" style="2592" customWidth="1"/>
    <col min="3339" max="3339" width="11.75" style="2592" customWidth="1"/>
    <col min="3340" max="3341" width="10.75" style="2592" customWidth="1"/>
    <col min="3342" max="3342" width="10" style="2592" customWidth="1"/>
    <col min="3343" max="3344" width="10.5" style="2592" bestFit="1" customWidth="1"/>
    <col min="3345" max="3345" width="10" style="2592" customWidth="1"/>
    <col min="3346" max="3346" width="10.125" style="2592" customWidth="1"/>
    <col min="3347" max="3347" width="10" style="2592" customWidth="1"/>
    <col min="3348" max="3348" width="26.125" style="2592" customWidth="1"/>
    <col min="3349" max="3584" width="8.875" style="2592"/>
    <col min="3585" max="3585" width="9.5" style="2592" customWidth="1"/>
    <col min="3586" max="3586" width="8.875" style="2592"/>
    <col min="3587" max="3589" width="12.875" style="2592" customWidth="1"/>
    <col min="3590" max="3590" width="47.5" style="2592" customWidth="1"/>
    <col min="3591" max="3591" width="13" style="2592" customWidth="1"/>
    <col min="3592" max="3593" width="8.875" style="2592"/>
    <col min="3594" max="3594" width="5.75" style="2592" customWidth="1"/>
    <col min="3595" max="3595" width="11.75" style="2592" customWidth="1"/>
    <col min="3596" max="3597" width="10.75" style="2592" customWidth="1"/>
    <col min="3598" max="3598" width="10" style="2592" customWidth="1"/>
    <col min="3599" max="3600" width="10.5" style="2592" bestFit="1" customWidth="1"/>
    <col min="3601" max="3601" width="10" style="2592" customWidth="1"/>
    <col min="3602" max="3602" width="10.125" style="2592" customWidth="1"/>
    <col min="3603" max="3603" width="10" style="2592" customWidth="1"/>
    <col min="3604" max="3604" width="26.125" style="2592" customWidth="1"/>
    <col min="3605" max="3840" width="8.875" style="2592"/>
    <col min="3841" max="3841" width="9.5" style="2592" customWidth="1"/>
    <col min="3842" max="3842" width="8.875" style="2592"/>
    <col min="3843" max="3845" width="12.875" style="2592" customWidth="1"/>
    <col min="3846" max="3846" width="47.5" style="2592" customWidth="1"/>
    <col min="3847" max="3847" width="13" style="2592" customWidth="1"/>
    <col min="3848" max="3849" width="8.875" style="2592"/>
    <col min="3850" max="3850" width="5.75" style="2592" customWidth="1"/>
    <col min="3851" max="3851" width="11.75" style="2592" customWidth="1"/>
    <col min="3852" max="3853" width="10.75" style="2592" customWidth="1"/>
    <col min="3854" max="3854" width="10" style="2592" customWidth="1"/>
    <col min="3855" max="3856" width="10.5" style="2592" bestFit="1" customWidth="1"/>
    <col min="3857" max="3857" width="10" style="2592" customWidth="1"/>
    <col min="3858" max="3858" width="10.125" style="2592" customWidth="1"/>
    <col min="3859" max="3859" width="10" style="2592" customWidth="1"/>
    <col min="3860" max="3860" width="26.125" style="2592" customWidth="1"/>
    <col min="3861" max="4096" width="8.875" style="2592"/>
    <col min="4097" max="4097" width="9.5" style="2592" customWidth="1"/>
    <col min="4098" max="4098" width="8.875" style="2592"/>
    <col min="4099" max="4101" width="12.875" style="2592" customWidth="1"/>
    <col min="4102" max="4102" width="47.5" style="2592" customWidth="1"/>
    <col min="4103" max="4103" width="13" style="2592" customWidth="1"/>
    <col min="4104" max="4105" width="8.875" style="2592"/>
    <col min="4106" max="4106" width="5.75" style="2592" customWidth="1"/>
    <col min="4107" max="4107" width="11.75" style="2592" customWidth="1"/>
    <col min="4108" max="4109" width="10.75" style="2592" customWidth="1"/>
    <col min="4110" max="4110" width="10" style="2592" customWidth="1"/>
    <col min="4111" max="4112" width="10.5" style="2592" bestFit="1" customWidth="1"/>
    <col min="4113" max="4113" width="10" style="2592" customWidth="1"/>
    <col min="4114" max="4114" width="10.125" style="2592" customWidth="1"/>
    <col min="4115" max="4115" width="10" style="2592" customWidth="1"/>
    <col min="4116" max="4116" width="26.125" style="2592" customWidth="1"/>
    <col min="4117" max="4352" width="8.875" style="2592"/>
    <col min="4353" max="4353" width="9.5" style="2592" customWidth="1"/>
    <col min="4354" max="4354" width="8.875" style="2592"/>
    <col min="4355" max="4357" width="12.875" style="2592" customWidth="1"/>
    <col min="4358" max="4358" width="47.5" style="2592" customWidth="1"/>
    <col min="4359" max="4359" width="13" style="2592" customWidth="1"/>
    <col min="4360" max="4361" width="8.875" style="2592"/>
    <col min="4362" max="4362" width="5.75" style="2592" customWidth="1"/>
    <col min="4363" max="4363" width="11.75" style="2592" customWidth="1"/>
    <col min="4364" max="4365" width="10.75" style="2592" customWidth="1"/>
    <col min="4366" max="4366" width="10" style="2592" customWidth="1"/>
    <col min="4367" max="4368" width="10.5" style="2592" bestFit="1" customWidth="1"/>
    <col min="4369" max="4369" width="10" style="2592" customWidth="1"/>
    <col min="4370" max="4370" width="10.125" style="2592" customWidth="1"/>
    <col min="4371" max="4371" width="10" style="2592" customWidth="1"/>
    <col min="4372" max="4372" width="26.125" style="2592" customWidth="1"/>
    <col min="4373" max="4608" width="8.875" style="2592"/>
    <col min="4609" max="4609" width="9.5" style="2592" customWidth="1"/>
    <col min="4610" max="4610" width="8.875" style="2592"/>
    <col min="4611" max="4613" width="12.875" style="2592" customWidth="1"/>
    <col min="4614" max="4614" width="47.5" style="2592" customWidth="1"/>
    <col min="4615" max="4615" width="13" style="2592" customWidth="1"/>
    <col min="4616" max="4617" width="8.875" style="2592"/>
    <col min="4618" max="4618" width="5.75" style="2592" customWidth="1"/>
    <col min="4619" max="4619" width="11.75" style="2592" customWidth="1"/>
    <col min="4620" max="4621" width="10.75" style="2592" customWidth="1"/>
    <col min="4622" max="4622" width="10" style="2592" customWidth="1"/>
    <col min="4623" max="4624" width="10.5" style="2592" bestFit="1" customWidth="1"/>
    <col min="4625" max="4625" width="10" style="2592" customWidth="1"/>
    <col min="4626" max="4626" width="10.125" style="2592" customWidth="1"/>
    <col min="4627" max="4627" width="10" style="2592" customWidth="1"/>
    <col min="4628" max="4628" width="26.125" style="2592" customWidth="1"/>
    <col min="4629" max="4864" width="8.875" style="2592"/>
    <col min="4865" max="4865" width="9.5" style="2592" customWidth="1"/>
    <col min="4866" max="4866" width="8.875" style="2592"/>
    <col min="4867" max="4869" width="12.875" style="2592" customWidth="1"/>
    <col min="4870" max="4870" width="47.5" style="2592" customWidth="1"/>
    <col min="4871" max="4871" width="13" style="2592" customWidth="1"/>
    <col min="4872" max="4873" width="8.875" style="2592"/>
    <col min="4874" max="4874" width="5.75" style="2592" customWidth="1"/>
    <col min="4875" max="4875" width="11.75" style="2592" customWidth="1"/>
    <col min="4876" max="4877" width="10.75" style="2592" customWidth="1"/>
    <col min="4878" max="4878" width="10" style="2592" customWidth="1"/>
    <col min="4879" max="4880" width="10.5" style="2592" bestFit="1" customWidth="1"/>
    <col min="4881" max="4881" width="10" style="2592" customWidth="1"/>
    <col min="4882" max="4882" width="10.125" style="2592" customWidth="1"/>
    <col min="4883" max="4883" width="10" style="2592" customWidth="1"/>
    <col min="4884" max="4884" width="26.125" style="2592" customWidth="1"/>
    <col min="4885" max="5120" width="8.875" style="2592"/>
    <col min="5121" max="5121" width="9.5" style="2592" customWidth="1"/>
    <col min="5122" max="5122" width="8.875" style="2592"/>
    <col min="5123" max="5125" width="12.875" style="2592" customWidth="1"/>
    <col min="5126" max="5126" width="47.5" style="2592" customWidth="1"/>
    <col min="5127" max="5127" width="13" style="2592" customWidth="1"/>
    <col min="5128" max="5129" width="8.875" style="2592"/>
    <col min="5130" max="5130" width="5.75" style="2592" customWidth="1"/>
    <col min="5131" max="5131" width="11.75" style="2592" customWidth="1"/>
    <col min="5132" max="5133" width="10.75" style="2592" customWidth="1"/>
    <col min="5134" max="5134" width="10" style="2592" customWidth="1"/>
    <col min="5135" max="5136" width="10.5" style="2592" bestFit="1" customWidth="1"/>
    <col min="5137" max="5137" width="10" style="2592" customWidth="1"/>
    <col min="5138" max="5138" width="10.125" style="2592" customWidth="1"/>
    <col min="5139" max="5139" width="10" style="2592" customWidth="1"/>
    <col min="5140" max="5140" width="26.125" style="2592" customWidth="1"/>
    <col min="5141" max="5376" width="8.875" style="2592"/>
    <col min="5377" max="5377" width="9.5" style="2592" customWidth="1"/>
    <col min="5378" max="5378" width="8.875" style="2592"/>
    <col min="5379" max="5381" width="12.875" style="2592" customWidth="1"/>
    <col min="5382" max="5382" width="47.5" style="2592" customWidth="1"/>
    <col min="5383" max="5383" width="13" style="2592" customWidth="1"/>
    <col min="5384" max="5385" width="8.875" style="2592"/>
    <col min="5386" max="5386" width="5.75" style="2592" customWidth="1"/>
    <col min="5387" max="5387" width="11.75" style="2592" customWidth="1"/>
    <col min="5388" max="5389" width="10.75" style="2592" customWidth="1"/>
    <col min="5390" max="5390" width="10" style="2592" customWidth="1"/>
    <col min="5391" max="5392" width="10.5" style="2592" bestFit="1" customWidth="1"/>
    <col min="5393" max="5393" width="10" style="2592" customWidth="1"/>
    <col min="5394" max="5394" width="10.125" style="2592" customWidth="1"/>
    <col min="5395" max="5395" width="10" style="2592" customWidth="1"/>
    <col min="5396" max="5396" width="26.125" style="2592" customWidth="1"/>
    <col min="5397" max="5632" width="8.875" style="2592"/>
    <col min="5633" max="5633" width="9.5" style="2592" customWidth="1"/>
    <col min="5634" max="5634" width="8.875" style="2592"/>
    <col min="5635" max="5637" width="12.875" style="2592" customWidth="1"/>
    <col min="5638" max="5638" width="47.5" style="2592" customWidth="1"/>
    <col min="5639" max="5639" width="13" style="2592" customWidth="1"/>
    <col min="5640" max="5641" width="8.875" style="2592"/>
    <col min="5642" max="5642" width="5.75" style="2592" customWidth="1"/>
    <col min="5643" max="5643" width="11.75" style="2592" customWidth="1"/>
    <col min="5644" max="5645" width="10.75" style="2592" customWidth="1"/>
    <col min="5646" max="5646" width="10" style="2592" customWidth="1"/>
    <col min="5647" max="5648" width="10.5" style="2592" bestFit="1" customWidth="1"/>
    <col min="5649" max="5649" width="10" style="2592" customWidth="1"/>
    <col min="5650" max="5650" width="10.125" style="2592" customWidth="1"/>
    <col min="5651" max="5651" width="10" style="2592" customWidth="1"/>
    <col min="5652" max="5652" width="26.125" style="2592" customWidth="1"/>
    <col min="5653" max="5888" width="8.875" style="2592"/>
    <col min="5889" max="5889" width="9.5" style="2592" customWidth="1"/>
    <col min="5890" max="5890" width="8.875" style="2592"/>
    <col min="5891" max="5893" width="12.875" style="2592" customWidth="1"/>
    <col min="5894" max="5894" width="47.5" style="2592" customWidth="1"/>
    <col min="5895" max="5895" width="13" style="2592" customWidth="1"/>
    <col min="5896" max="5897" width="8.875" style="2592"/>
    <col min="5898" max="5898" width="5.75" style="2592" customWidth="1"/>
    <col min="5899" max="5899" width="11.75" style="2592" customWidth="1"/>
    <col min="5900" max="5901" width="10.75" style="2592" customWidth="1"/>
    <col min="5902" max="5902" width="10" style="2592" customWidth="1"/>
    <col min="5903" max="5904" width="10.5" style="2592" bestFit="1" customWidth="1"/>
    <col min="5905" max="5905" width="10" style="2592" customWidth="1"/>
    <col min="5906" max="5906" width="10.125" style="2592" customWidth="1"/>
    <col min="5907" max="5907" width="10" style="2592" customWidth="1"/>
    <col min="5908" max="5908" width="26.125" style="2592" customWidth="1"/>
    <col min="5909" max="6144" width="8.875" style="2592"/>
    <col min="6145" max="6145" width="9.5" style="2592" customWidth="1"/>
    <col min="6146" max="6146" width="8.875" style="2592"/>
    <col min="6147" max="6149" width="12.875" style="2592" customWidth="1"/>
    <col min="6150" max="6150" width="47.5" style="2592" customWidth="1"/>
    <col min="6151" max="6151" width="13" style="2592" customWidth="1"/>
    <col min="6152" max="6153" width="8.875" style="2592"/>
    <col min="6154" max="6154" width="5.75" style="2592" customWidth="1"/>
    <col min="6155" max="6155" width="11.75" style="2592" customWidth="1"/>
    <col min="6156" max="6157" width="10.75" style="2592" customWidth="1"/>
    <col min="6158" max="6158" width="10" style="2592" customWidth="1"/>
    <col min="6159" max="6160" width="10.5" style="2592" bestFit="1" customWidth="1"/>
    <col min="6161" max="6161" width="10" style="2592" customWidth="1"/>
    <col min="6162" max="6162" width="10.125" style="2592" customWidth="1"/>
    <col min="6163" max="6163" width="10" style="2592" customWidth="1"/>
    <col min="6164" max="6164" width="26.125" style="2592" customWidth="1"/>
    <col min="6165" max="6400" width="8.875" style="2592"/>
    <col min="6401" max="6401" width="9.5" style="2592" customWidth="1"/>
    <col min="6402" max="6402" width="8.875" style="2592"/>
    <col min="6403" max="6405" width="12.875" style="2592" customWidth="1"/>
    <col min="6406" max="6406" width="47.5" style="2592" customWidth="1"/>
    <col min="6407" max="6407" width="13" style="2592" customWidth="1"/>
    <col min="6408" max="6409" width="8.875" style="2592"/>
    <col min="6410" max="6410" width="5.75" style="2592" customWidth="1"/>
    <col min="6411" max="6411" width="11.75" style="2592" customWidth="1"/>
    <col min="6412" max="6413" width="10.75" style="2592" customWidth="1"/>
    <col min="6414" max="6414" width="10" style="2592" customWidth="1"/>
    <col min="6415" max="6416" width="10.5" style="2592" bestFit="1" customWidth="1"/>
    <col min="6417" max="6417" width="10" style="2592" customWidth="1"/>
    <col min="6418" max="6418" width="10.125" style="2592" customWidth="1"/>
    <col min="6419" max="6419" width="10" style="2592" customWidth="1"/>
    <col min="6420" max="6420" width="26.125" style="2592" customWidth="1"/>
    <col min="6421" max="6656" width="8.875" style="2592"/>
    <col min="6657" max="6657" width="9.5" style="2592" customWidth="1"/>
    <col min="6658" max="6658" width="8.875" style="2592"/>
    <col min="6659" max="6661" width="12.875" style="2592" customWidth="1"/>
    <col min="6662" max="6662" width="47.5" style="2592" customWidth="1"/>
    <col min="6663" max="6663" width="13" style="2592" customWidth="1"/>
    <col min="6664" max="6665" width="8.875" style="2592"/>
    <col min="6666" max="6666" width="5.75" style="2592" customWidth="1"/>
    <col min="6667" max="6667" width="11.75" style="2592" customWidth="1"/>
    <col min="6668" max="6669" width="10.75" style="2592" customWidth="1"/>
    <col min="6670" max="6670" width="10" style="2592" customWidth="1"/>
    <col min="6671" max="6672" width="10.5" style="2592" bestFit="1" customWidth="1"/>
    <col min="6673" max="6673" width="10" style="2592" customWidth="1"/>
    <col min="6674" max="6674" width="10.125" style="2592" customWidth="1"/>
    <col min="6675" max="6675" width="10" style="2592" customWidth="1"/>
    <col min="6676" max="6676" width="26.125" style="2592" customWidth="1"/>
    <col min="6677" max="6912" width="8.875" style="2592"/>
    <col min="6913" max="6913" width="9.5" style="2592" customWidth="1"/>
    <col min="6914" max="6914" width="8.875" style="2592"/>
    <col min="6915" max="6917" width="12.875" style="2592" customWidth="1"/>
    <col min="6918" max="6918" width="47.5" style="2592" customWidth="1"/>
    <col min="6919" max="6919" width="13" style="2592" customWidth="1"/>
    <col min="6920" max="6921" width="8.875" style="2592"/>
    <col min="6922" max="6922" width="5.75" style="2592" customWidth="1"/>
    <col min="6923" max="6923" width="11.75" style="2592" customWidth="1"/>
    <col min="6924" max="6925" width="10.75" style="2592" customWidth="1"/>
    <col min="6926" max="6926" width="10" style="2592" customWidth="1"/>
    <col min="6927" max="6928" width="10.5" style="2592" bestFit="1" customWidth="1"/>
    <col min="6929" max="6929" width="10" style="2592" customWidth="1"/>
    <col min="6930" max="6930" width="10.125" style="2592" customWidth="1"/>
    <col min="6931" max="6931" width="10" style="2592" customWidth="1"/>
    <col min="6932" max="6932" width="26.125" style="2592" customWidth="1"/>
    <col min="6933" max="7168" width="8.875" style="2592"/>
    <col min="7169" max="7169" width="9.5" style="2592" customWidth="1"/>
    <col min="7170" max="7170" width="8.875" style="2592"/>
    <col min="7171" max="7173" width="12.875" style="2592" customWidth="1"/>
    <col min="7174" max="7174" width="47.5" style="2592" customWidth="1"/>
    <col min="7175" max="7175" width="13" style="2592" customWidth="1"/>
    <col min="7176" max="7177" width="8.875" style="2592"/>
    <col min="7178" max="7178" width="5.75" style="2592" customWidth="1"/>
    <col min="7179" max="7179" width="11.75" style="2592" customWidth="1"/>
    <col min="7180" max="7181" width="10.75" style="2592" customWidth="1"/>
    <col min="7182" max="7182" width="10" style="2592" customWidth="1"/>
    <col min="7183" max="7184" width="10.5" style="2592" bestFit="1" customWidth="1"/>
    <col min="7185" max="7185" width="10" style="2592" customWidth="1"/>
    <col min="7186" max="7186" width="10.125" style="2592" customWidth="1"/>
    <col min="7187" max="7187" width="10" style="2592" customWidth="1"/>
    <col min="7188" max="7188" width="26.125" style="2592" customWidth="1"/>
    <col min="7189" max="7424" width="8.875" style="2592"/>
    <col min="7425" max="7425" width="9.5" style="2592" customWidth="1"/>
    <col min="7426" max="7426" width="8.875" style="2592"/>
    <col min="7427" max="7429" width="12.875" style="2592" customWidth="1"/>
    <col min="7430" max="7430" width="47.5" style="2592" customWidth="1"/>
    <col min="7431" max="7431" width="13" style="2592" customWidth="1"/>
    <col min="7432" max="7433" width="8.875" style="2592"/>
    <col min="7434" max="7434" width="5.75" style="2592" customWidth="1"/>
    <col min="7435" max="7435" width="11.75" style="2592" customWidth="1"/>
    <col min="7436" max="7437" width="10.75" style="2592" customWidth="1"/>
    <col min="7438" max="7438" width="10" style="2592" customWidth="1"/>
    <col min="7439" max="7440" width="10.5" style="2592" bestFit="1" customWidth="1"/>
    <col min="7441" max="7441" width="10" style="2592" customWidth="1"/>
    <col min="7442" max="7442" width="10.125" style="2592" customWidth="1"/>
    <col min="7443" max="7443" width="10" style="2592" customWidth="1"/>
    <col min="7444" max="7444" width="26.125" style="2592" customWidth="1"/>
    <col min="7445" max="7680" width="8.875" style="2592"/>
    <col min="7681" max="7681" width="9.5" style="2592" customWidth="1"/>
    <col min="7682" max="7682" width="8.875" style="2592"/>
    <col min="7683" max="7685" width="12.875" style="2592" customWidth="1"/>
    <col min="7686" max="7686" width="47.5" style="2592" customWidth="1"/>
    <col min="7687" max="7687" width="13" style="2592" customWidth="1"/>
    <col min="7688" max="7689" width="8.875" style="2592"/>
    <col min="7690" max="7690" width="5.75" style="2592" customWidth="1"/>
    <col min="7691" max="7691" width="11.75" style="2592" customWidth="1"/>
    <col min="7692" max="7693" width="10.75" style="2592" customWidth="1"/>
    <col min="7694" max="7694" width="10" style="2592" customWidth="1"/>
    <col min="7695" max="7696" width="10.5" style="2592" bestFit="1" customWidth="1"/>
    <col min="7697" max="7697" width="10" style="2592" customWidth="1"/>
    <col min="7698" max="7698" width="10.125" style="2592" customWidth="1"/>
    <col min="7699" max="7699" width="10" style="2592" customWidth="1"/>
    <col min="7700" max="7700" width="26.125" style="2592" customWidth="1"/>
    <col min="7701" max="7936" width="8.875" style="2592"/>
    <col min="7937" max="7937" width="9.5" style="2592" customWidth="1"/>
    <col min="7938" max="7938" width="8.875" style="2592"/>
    <col min="7939" max="7941" width="12.875" style="2592" customWidth="1"/>
    <col min="7942" max="7942" width="47.5" style="2592" customWidth="1"/>
    <col min="7943" max="7943" width="13" style="2592" customWidth="1"/>
    <col min="7944" max="7945" width="8.875" style="2592"/>
    <col min="7946" max="7946" width="5.75" style="2592" customWidth="1"/>
    <col min="7947" max="7947" width="11.75" style="2592" customWidth="1"/>
    <col min="7948" max="7949" width="10.75" style="2592" customWidth="1"/>
    <col min="7950" max="7950" width="10" style="2592" customWidth="1"/>
    <col min="7951" max="7952" width="10.5" style="2592" bestFit="1" customWidth="1"/>
    <col min="7953" max="7953" width="10" style="2592" customWidth="1"/>
    <col min="7954" max="7954" width="10.125" style="2592" customWidth="1"/>
    <col min="7955" max="7955" width="10" style="2592" customWidth="1"/>
    <col min="7956" max="7956" width="26.125" style="2592" customWidth="1"/>
    <col min="7957" max="8192" width="8.875" style="2592"/>
    <col min="8193" max="8193" width="9.5" style="2592" customWidth="1"/>
    <col min="8194" max="8194" width="8.875" style="2592"/>
    <col min="8195" max="8197" width="12.875" style="2592" customWidth="1"/>
    <col min="8198" max="8198" width="47.5" style="2592" customWidth="1"/>
    <col min="8199" max="8199" width="13" style="2592" customWidth="1"/>
    <col min="8200" max="8201" width="8.875" style="2592"/>
    <col min="8202" max="8202" width="5.75" style="2592" customWidth="1"/>
    <col min="8203" max="8203" width="11.75" style="2592" customWidth="1"/>
    <col min="8204" max="8205" width="10.75" style="2592" customWidth="1"/>
    <col min="8206" max="8206" width="10" style="2592" customWidth="1"/>
    <col min="8207" max="8208" width="10.5" style="2592" bestFit="1" customWidth="1"/>
    <col min="8209" max="8209" width="10" style="2592" customWidth="1"/>
    <col min="8210" max="8210" width="10.125" style="2592" customWidth="1"/>
    <col min="8211" max="8211" width="10" style="2592" customWidth="1"/>
    <col min="8212" max="8212" width="26.125" style="2592" customWidth="1"/>
    <col min="8213" max="8448" width="8.875" style="2592"/>
    <col min="8449" max="8449" width="9.5" style="2592" customWidth="1"/>
    <col min="8450" max="8450" width="8.875" style="2592"/>
    <col min="8451" max="8453" width="12.875" style="2592" customWidth="1"/>
    <col min="8454" max="8454" width="47.5" style="2592" customWidth="1"/>
    <col min="8455" max="8455" width="13" style="2592" customWidth="1"/>
    <col min="8456" max="8457" width="8.875" style="2592"/>
    <col min="8458" max="8458" width="5.75" style="2592" customWidth="1"/>
    <col min="8459" max="8459" width="11.75" style="2592" customWidth="1"/>
    <col min="8460" max="8461" width="10.75" style="2592" customWidth="1"/>
    <col min="8462" max="8462" width="10" style="2592" customWidth="1"/>
    <col min="8463" max="8464" width="10.5" style="2592" bestFit="1" customWidth="1"/>
    <col min="8465" max="8465" width="10" style="2592" customWidth="1"/>
    <col min="8466" max="8466" width="10.125" style="2592" customWidth="1"/>
    <col min="8467" max="8467" width="10" style="2592" customWidth="1"/>
    <col min="8468" max="8468" width="26.125" style="2592" customWidth="1"/>
    <col min="8469" max="8704" width="8.875" style="2592"/>
    <col min="8705" max="8705" width="9.5" style="2592" customWidth="1"/>
    <col min="8706" max="8706" width="8.875" style="2592"/>
    <col min="8707" max="8709" width="12.875" style="2592" customWidth="1"/>
    <col min="8710" max="8710" width="47.5" style="2592" customWidth="1"/>
    <col min="8711" max="8711" width="13" style="2592" customWidth="1"/>
    <col min="8712" max="8713" width="8.875" style="2592"/>
    <col min="8714" max="8714" width="5.75" style="2592" customWidth="1"/>
    <col min="8715" max="8715" width="11.75" style="2592" customWidth="1"/>
    <col min="8716" max="8717" width="10.75" style="2592" customWidth="1"/>
    <col min="8718" max="8718" width="10" style="2592" customWidth="1"/>
    <col min="8719" max="8720" width="10.5" style="2592" bestFit="1" customWidth="1"/>
    <col min="8721" max="8721" width="10" style="2592" customWidth="1"/>
    <col min="8722" max="8722" width="10.125" style="2592" customWidth="1"/>
    <col min="8723" max="8723" width="10" style="2592" customWidth="1"/>
    <col min="8724" max="8724" width="26.125" style="2592" customWidth="1"/>
    <col min="8725" max="8960" width="8.875" style="2592"/>
    <col min="8961" max="8961" width="9.5" style="2592" customWidth="1"/>
    <col min="8962" max="8962" width="8.875" style="2592"/>
    <col min="8963" max="8965" width="12.875" style="2592" customWidth="1"/>
    <col min="8966" max="8966" width="47.5" style="2592" customWidth="1"/>
    <col min="8967" max="8967" width="13" style="2592" customWidth="1"/>
    <col min="8968" max="8969" width="8.875" style="2592"/>
    <col min="8970" max="8970" width="5.75" style="2592" customWidth="1"/>
    <col min="8971" max="8971" width="11.75" style="2592" customWidth="1"/>
    <col min="8972" max="8973" width="10.75" style="2592" customWidth="1"/>
    <col min="8974" max="8974" width="10" style="2592" customWidth="1"/>
    <col min="8975" max="8976" width="10.5" style="2592" bestFit="1" customWidth="1"/>
    <col min="8977" max="8977" width="10" style="2592" customWidth="1"/>
    <col min="8978" max="8978" width="10.125" style="2592" customWidth="1"/>
    <col min="8979" max="8979" width="10" style="2592" customWidth="1"/>
    <col min="8980" max="8980" width="26.125" style="2592" customWidth="1"/>
    <col min="8981" max="9216" width="8.875" style="2592"/>
    <col min="9217" max="9217" width="9.5" style="2592" customWidth="1"/>
    <col min="9218" max="9218" width="8.875" style="2592"/>
    <col min="9219" max="9221" width="12.875" style="2592" customWidth="1"/>
    <col min="9222" max="9222" width="47.5" style="2592" customWidth="1"/>
    <col min="9223" max="9223" width="13" style="2592" customWidth="1"/>
    <col min="9224" max="9225" width="8.875" style="2592"/>
    <col min="9226" max="9226" width="5.75" style="2592" customWidth="1"/>
    <col min="9227" max="9227" width="11.75" style="2592" customWidth="1"/>
    <col min="9228" max="9229" width="10.75" style="2592" customWidth="1"/>
    <col min="9230" max="9230" width="10" style="2592" customWidth="1"/>
    <col min="9231" max="9232" width="10.5" style="2592" bestFit="1" customWidth="1"/>
    <col min="9233" max="9233" width="10" style="2592" customWidth="1"/>
    <col min="9234" max="9234" width="10.125" style="2592" customWidth="1"/>
    <col min="9235" max="9235" width="10" style="2592" customWidth="1"/>
    <col min="9236" max="9236" width="26.125" style="2592" customWidth="1"/>
    <col min="9237" max="9472" width="8.875" style="2592"/>
    <col min="9473" max="9473" width="9.5" style="2592" customWidth="1"/>
    <col min="9474" max="9474" width="8.875" style="2592"/>
    <col min="9475" max="9477" width="12.875" style="2592" customWidth="1"/>
    <col min="9478" max="9478" width="47.5" style="2592" customWidth="1"/>
    <col min="9479" max="9479" width="13" style="2592" customWidth="1"/>
    <col min="9480" max="9481" width="8.875" style="2592"/>
    <col min="9482" max="9482" width="5.75" style="2592" customWidth="1"/>
    <col min="9483" max="9483" width="11.75" style="2592" customWidth="1"/>
    <col min="9484" max="9485" width="10.75" style="2592" customWidth="1"/>
    <col min="9486" max="9486" width="10" style="2592" customWidth="1"/>
    <col min="9487" max="9488" width="10.5" style="2592" bestFit="1" customWidth="1"/>
    <col min="9489" max="9489" width="10" style="2592" customWidth="1"/>
    <col min="9490" max="9490" width="10.125" style="2592" customWidth="1"/>
    <col min="9491" max="9491" width="10" style="2592" customWidth="1"/>
    <col min="9492" max="9492" width="26.125" style="2592" customWidth="1"/>
    <col min="9493" max="9728" width="8.875" style="2592"/>
    <col min="9729" max="9729" width="9.5" style="2592" customWidth="1"/>
    <col min="9730" max="9730" width="8.875" style="2592"/>
    <col min="9731" max="9733" width="12.875" style="2592" customWidth="1"/>
    <col min="9734" max="9734" width="47.5" style="2592" customWidth="1"/>
    <col min="9735" max="9735" width="13" style="2592" customWidth="1"/>
    <col min="9736" max="9737" width="8.875" style="2592"/>
    <col min="9738" max="9738" width="5.75" style="2592" customWidth="1"/>
    <col min="9739" max="9739" width="11.75" style="2592" customWidth="1"/>
    <col min="9740" max="9741" width="10.75" style="2592" customWidth="1"/>
    <col min="9742" max="9742" width="10" style="2592" customWidth="1"/>
    <col min="9743" max="9744" width="10.5" style="2592" bestFit="1" customWidth="1"/>
    <col min="9745" max="9745" width="10" style="2592" customWidth="1"/>
    <col min="9746" max="9746" width="10.125" style="2592" customWidth="1"/>
    <col min="9747" max="9747" width="10" style="2592" customWidth="1"/>
    <col min="9748" max="9748" width="26.125" style="2592" customWidth="1"/>
    <col min="9749" max="9984" width="8.875" style="2592"/>
    <col min="9985" max="9985" width="9.5" style="2592" customWidth="1"/>
    <col min="9986" max="9986" width="8.875" style="2592"/>
    <col min="9987" max="9989" width="12.875" style="2592" customWidth="1"/>
    <col min="9990" max="9990" width="47.5" style="2592" customWidth="1"/>
    <col min="9991" max="9991" width="13" style="2592" customWidth="1"/>
    <col min="9992" max="9993" width="8.875" style="2592"/>
    <col min="9994" max="9994" width="5.75" style="2592" customWidth="1"/>
    <col min="9995" max="9995" width="11.75" style="2592" customWidth="1"/>
    <col min="9996" max="9997" width="10.75" style="2592" customWidth="1"/>
    <col min="9998" max="9998" width="10" style="2592" customWidth="1"/>
    <col min="9999" max="10000" width="10.5" style="2592" bestFit="1" customWidth="1"/>
    <col min="10001" max="10001" width="10" style="2592" customWidth="1"/>
    <col min="10002" max="10002" width="10.125" style="2592" customWidth="1"/>
    <col min="10003" max="10003" width="10" style="2592" customWidth="1"/>
    <col min="10004" max="10004" width="26.125" style="2592" customWidth="1"/>
    <col min="10005" max="10240" width="8.875" style="2592"/>
    <col min="10241" max="10241" width="9.5" style="2592" customWidth="1"/>
    <col min="10242" max="10242" width="8.875" style="2592"/>
    <col min="10243" max="10245" width="12.875" style="2592" customWidth="1"/>
    <col min="10246" max="10246" width="47.5" style="2592" customWidth="1"/>
    <col min="10247" max="10247" width="13" style="2592" customWidth="1"/>
    <col min="10248" max="10249" width="8.875" style="2592"/>
    <col min="10250" max="10250" width="5.75" style="2592" customWidth="1"/>
    <col min="10251" max="10251" width="11.75" style="2592" customWidth="1"/>
    <col min="10252" max="10253" width="10.75" style="2592" customWidth="1"/>
    <col min="10254" max="10254" width="10" style="2592" customWidth="1"/>
    <col min="10255" max="10256" width="10.5" style="2592" bestFit="1" customWidth="1"/>
    <col min="10257" max="10257" width="10" style="2592" customWidth="1"/>
    <col min="10258" max="10258" width="10.125" style="2592" customWidth="1"/>
    <col min="10259" max="10259" width="10" style="2592" customWidth="1"/>
    <col min="10260" max="10260" width="26.125" style="2592" customWidth="1"/>
    <col min="10261" max="10496" width="8.875" style="2592"/>
    <col min="10497" max="10497" width="9.5" style="2592" customWidth="1"/>
    <col min="10498" max="10498" width="8.875" style="2592"/>
    <col min="10499" max="10501" width="12.875" style="2592" customWidth="1"/>
    <col min="10502" max="10502" width="47.5" style="2592" customWidth="1"/>
    <col min="10503" max="10503" width="13" style="2592" customWidth="1"/>
    <col min="10504" max="10505" width="8.875" style="2592"/>
    <col min="10506" max="10506" width="5.75" style="2592" customWidth="1"/>
    <col min="10507" max="10507" width="11.75" style="2592" customWidth="1"/>
    <col min="10508" max="10509" width="10.75" style="2592" customWidth="1"/>
    <col min="10510" max="10510" width="10" style="2592" customWidth="1"/>
    <col min="10511" max="10512" width="10.5" style="2592" bestFit="1" customWidth="1"/>
    <col min="10513" max="10513" width="10" style="2592" customWidth="1"/>
    <col min="10514" max="10514" width="10.125" style="2592" customWidth="1"/>
    <col min="10515" max="10515" width="10" style="2592" customWidth="1"/>
    <col min="10516" max="10516" width="26.125" style="2592" customWidth="1"/>
    <col min="10517" max="10752" width="8.875" style="2592"/>
    <col min="10753" max="10753" width="9.5" style="2592" customWidth="1"/>
    <col min="10754" max="10754" width="8.875" style="2592"/>
    <col min="10755" max="10757" width="12.875" style="2592" customWidth="1"/>
    <col min="10758" max="10758" width="47.5" style="2592" customWidth="1"/>
    <col min="10759" max="10759" width="13" style="2592" customWidth="1"/>
    <col min="10760" max="10761" width="8.875" style="2592"/>
    <col min="10762" max="10762" width="5.75" style="2592" customWidth="1"/>
    <col min="10763" max="10763" width="11.75" style="2592" customWidth="1"/>
    <col min="10764" max="10765" width="10.75" style="2592" customWidth="1"/>
    <col min="10766" max="10766" width="10" style="2592" customWidth="1"/>
    <col min="10767" max="10768" width="10.5" style="2592" bestFit="1" customWidth="1"/>
    <col min="10769" max="10769" width="10" style="2592" customWidth="1"/>
    <col min="10770" max="10770" width="10.125" style="2592" customWidth="1"/>
    <col min="10771" max="10771" width="10" style="2592" customWidth="1"/>
    <col min="10772" max="10772" width="26.125" style="2592" customWidth="1"/>
    <col min="10773" max="11008" width="8.875" style="2592"/>
    <col min="11009" max="11009" width="9.5" style="2592" customWidth="1"/>
    <col min="11010" max="11010" width="8.875" style="2592"/>
    <col min="11011" max="11013" width="12.875" style="2592" customWidth="1"/>
    <col min="11014" max="11014" width="47.5" style="2592" customWidth="1"/>
    <col min="11015" max="11015" width="13" style="2592" customWidth="1"/>
    <col min="11016" max="11017" width="8.875" style="2592"/>
    <col min="11018" max="11018" width="5.75" style="2592" customWidth="1"/>
    <col min="11019" max="11019" width="11.75" style="2592" customWidth="1"/>
    <col min="11020" max="11021" width="10.75" style="2592" customWidth="1"/>
    <col min="11022" max="11022" width="10" style="2592" customWidth="1"/>
    <col min="11023" max="11024" width="10.5" style="2592" bestFit="1" customWidth="1"/>
    <col min="11025" max="11025" width="10" style="2592" customWidth="1"/>
    <col min="11026" max="11026" width="10.125" style="2592" customWidth="1"/>
    <col min="11027" max="11027" width="10" style="2592" customWidth="1"/>
    <col min="11028" max="11028" width="26.125" style="2592" customWidth="1"/>
    <col min="11029" max="11264" width="8.875" style="2592"/>
    <col min="11265" max="11265" width="9.5" style="2592" customWidth="1"/>
    <col min="11266" max="11266" width="8.875" style="2592"/>
    <col min="11267" max="11269" width="12.875" style="2592" customWidth="1"/>
    <col min="11270" max="11270" width="47.5" style="2592" customWidth="1"/>
    <col min="11271" max="11271" width="13" style="2592" customWidth="1"/>
    <col min="11272" max="11273" width="8.875" style="2592"/>
    <col min="11274" max="11274" width="5.75" style="2592" customWidth="1"/>
    <col min="11275" max="11275" width="11.75" style="2592" customWidth="1"/>
    <col min="11276" max="11277" width="10.75" style="2592" customWidth="1"/>
    <col min="11278" max="11278" width="10" style="2592" customWidth="1"/>
    <col min="11279" max="11280" width="10.5" style="2592" bestFit="1" customWidth="1"/>
    <col min="11281" max="11281" width="10" style="2592" customWidth="1"/>
    <col min="11282" max="11282" width="10.125" style="2592" customWidth="1"/>
    <col min="11283" max="11283" width="10" style="2592" customWidth="1"/>
    <col min="11284" max="11284" width="26.125" style="2592" customWidth="1"/>
    <col min="11285" max="11520" width="8.875" style="2592"/>
    <col min="11521" max="11521" width="9.5" style="2592" customWidth="1"/>
    <col min="11522" max="11522" width="8.875" style="2592"/>
    <col min="11523" max="11525" width="12.875" style="2592" customWidth="1"/>
    <col min="11526" max="11526" width="47.5" style="2592" customWidth="1"/>
    <col min="11527" max="11527" width="13" style="2592" customWidth="1"/>
    <col min="11528" max="11529" width="8.875" style="2592"/>
    <col min="11530" max="11530" width="5.75" style="2592" customWidth="1"/>
    <col min="11531" max="11531" width="11.75" style="2592" customWidth="1"/>
    <col min="11532" max="11533" width="10.75" style="2592" customWidth="1"/>
    <col min="11534" max="11534" width="10" style="2592" customWidth="1"/>
    <col min="11535" max="11536" width="10.5" style="2592" bestFit="1" customWidth="1"/>
    <col min="11537" max="11537" width="10" style="2592" customWidth="1"/>
    <col min="11538" max="11538" width="10.125" style="2592" customWidth="1"/>
    <col min="11539" max="11539" width="10" style="2592" customWidth="1"/>
    <col min="11540" max="11540" width="26.125" style="2592" customWidth="1"/>
    <col min="11541" max="11776" width="8.875" style="2592"/>
    <col min="11777" max="11777" width="9.5" style="2592" customWidth="1"/>
    <col min="11778" max="11778" width="8.875" style="2592"/>
    <col min="11779" max="11781" width="12.875" style="2592" customWidth="1"/>
    <col min="11782" max="11782" width="47.5" style="2592" customWidth="1"/>
    <col min="11783" max="11783" width="13" style="2592" customWidth="1"/>
    <col min="11784" max="11785" width="8.875" style="2592"/>
    <col min="11786" max="11786" width="5.75" style="2592" customWidth="1"/>
    <col min="11787" max="11787" width="11.75" style="2592" customWidth="1"/>
    <col min="11788" max="11789" width="10.75" style="2592" customWidth="1"/>
    <col min="11790" max="11790" width="10" style="2592" customWidth="1"/>
    <col min="11791" max="11792" width="10.5" style="2592" bestFit="1" customWidth="1"/>
    <col min="11793" max="11793" width="10" style="2592" customWidth="1"/>
    <col min="11794" max="11794" width="10.125" style="2592" customWidth="1"/>
    <col min="11795" max="11795" width="10" style="2592" customWidth="1"/>
    <col min="11796" max="11796" width="26.125" style="2592" customWidth="1"/>
    <col min="11797" max="12032" width="8.875" style="2592"/>
    <col min="12033" max="12033" width="9.5" style="2592" customWidth="1"/>
    <col min="12034" max="12034" width="8.875" style="2592"/>
    <col min="12035" max="12037" width="12.875" style="2592" customWidth="1"/>
    <col min="12038" max="12038" width="47.5" style="2592" customWidth="1"/>
    <col min="12039" max="12039" width="13" style="2592" customWidth="1"/>
    <col min="12040" max="12041" width="8.875" style="2592"/>
    <col min="12042" max="12042" width="5.75" style="2592" customWidth="1"/>
    <col min="12043" max="12043" width="11.75" style="2592" customWidth="1"/>
    <col min="12044" max="12045" width="10.75" style="2592" customWidth="1"/>
    <col min="12046" max="12046" width="10" style="2592" customWidth="1"/>
    <col min="12047" max="12048" width="10.5" style="2592" bestFit="1" customWidth="1"/>
    <col min="12049" max="12049" width="10" style="2592" customWidth="1"/>
    <col min="12050" max="12050" width="10.125" style="2592" customWidth="1"/>
    <col min="12051" max="12051" width="10" style="2592" customWidth="1"/>
    <col min="12052" max="12052" width="26.125" style="2592" customWidth="1"/>
    <col min="12053" max="12288" width="8.875" style="2592"/>
    <col min="12289" max="12289" width="9.5" style="2592" customWidth="1"/>
    <col min="12290" max="12290" width="8.875" style="2592"/>
    <col min="12291" max="12293" width="12.875" style="2592" customWidth="1"/>
    <col min="12294" max="12294" width="47.5" style="2592" customWidth="1"/>
    <col min="12295" max="12295" width="13" style="2592" customWidth="1"/>
    <col min="12296" max="12297" width="8.875" style="2592"/>
    <col min="12298" max="12298" width="5.75" style="2592" customWidth="1"/>
    <col min="12299" max="12299" width="11.75" style="2592" customWidth="1"/>
    <col min="12300" max="12301" width="10.75" style="2592" customWidth="1"/>
    <col min="12302" max="12302" width="10" style="2592" customWidth="1"/>
    <col min="12303" max="12304" width="10.5" style="2592" bestFit="1" customWidth="1"/>
    <col min="12305" max="12305" width="10" style="2592" customWidth="1"/>
    <col min="12306" max="12306" width="10.125" style="2592" customWidth="1"/>
    <col min="12307" max="12307" width="10" style="2592" customWidth="1"/>
    <col min="12308" max="12308" width="26.125" style="2592" customWidth="1"/>
    <col min="12309" max="12544" width="8.875" style="2592"/>
    <col min="12545" max="12545" width="9.5" style="2592" customWidth="1"/>
    <col min="12546" max="12546" width="8.875" style="2592"/>
    <col min="12547" max="12549" width="12.875" style="2592" customWidth="1"/>
    <col min="12550" max="12550" width="47.5" style="2592" customWidth="1"/>
    <col min="12551" max="12551" width="13" style="2592" customWidth="1"/>
    <col min="12552" max="12553" width="8.875" style="2592"/>
    <col min="12554" max="12554" width="5.75" style="2592" customWidth="1"/>
    <col min="12555" max="12555" width="11.75" style="2592" customWidth="1"/>
    <col min="12556" max="12557" width="10.75" style="2592" customWidth="1"/>
    <col min="12558" max="12558" width="10" style="2592" customWidth="1"/>
    <col min="12559" max="12560" width="10.5" style="2592" bestFit="1" customWidth="1"/>
    <col min="12561" max="12561" width="10" style="2592" customWidth="1"/>
    <col min="12562" max="12562" width="10.125" style="2592" customWidth="1"/>
    <col min="12563" max="12563" width="10" style="2592" customWidth="1"/>
    <col min="12564" max="12564" width="26.125" style="2592" customWidth="1"/>
    <col min="12565" max="12800" width="8.875" style="2592"/>
    <col min="12801" max="12801" width="9.5" style="2592" customWidth="1"/>
    <col min="12802" max="12802" width="8.875" style="2592"/>
    <col min="12803" max="12805" width="12.875" style="2592" customWidth="1"/>
    <col min="12806" max="12806" width="47.5" style="2592" customWidth="1"/>
    <col min="12807" max="12807" width="13" style="2592" customWidth="1"/>
    <col min="12808" max="12809" width="8.875" style="2592"/>
    <col min="12810" max="12810" width="5.75" style="2592" customWidth="1"/>
    <col min="12811" max="12811" width="11.75" style="2592" customWidth="1"/>
    <col min="12812" max="12813" width="10.75" style="2592" customWidth="1"/>
    <col min="12814" max="12814" width="10" style="2592" customWidth="1"/>
    <col min="12815" max="12816" width="10.5" style="2592" bestFit="1" customWidth="1"/>
    <col min="12817" max="12817" width="10" style="2592" customWidth="1"/>
    <col min="12818" max="12818" width="10.125" style="2592" customWidth="1"/>
    <col min="12819" max="12819" width="10" style="2592" customWidth="1"/>
    <col min="12820" max="12820" width="26.125" style="2592" customWidth="1"/>
    <col min="12821" max="13056" width="8.875" style="2592"/>
    <col min="13057" max="13057" width="9.5" style="2592" customWidth="1"/>
    <col min="13058" max="13058" width="8.875" style="2592"/>
    <col min="13059" max="13061" width="12.875" style="2592" customWidth="1"/>
    <col min="13062" max="13062" width="47.5" style="2592" customWidth="1"/>
    <col min="13063" max="13063" width="13" style="2592" customWidth="1"/>
    <col min="13064" max="13065" width="8.875" style="2592"/>
    <col min="13066" max="13066" width="5.75" style="2592" customWidth="1"/>
    <col min="13067" max="13067" width="11.75" style="2592" customWidth="1"/>
    <col min="13068" max="13069" width="10.75" style="2592" customWidth="1"/>
    <col min="13070" max="13070" width="10" style="2592" customWidth="1"/>
    <col min="13071" max="13072" width="10.5" style="2592" bestFit="1" customWidth="1"/>
    <col min="13073" max="13073" width="10" style="2592" customWidth="1"/>
    <col min="13074" max="13074" width="10.125" style="2592" customWidth="1"/>
    <col min="13075" max="13075" width="10" style="2592" customWidth="1"/>
    <col min="13076" max="13076" width="26.125" style="2592" customWidth="1"/>
    <col min="13077" max="13312" width="8.875" style="2592"/>
    <col min="13313" max="13313" width="9.5" style="2592" customWidth="1"/>
    <col min="13314" max="13314" width="8.875" style="2592"/>
    <col min="13315" max="13317" width="12.875" style="2592" customWidth="1"/>
    <col min="13318" max="13318" width="47.5" style="2592" customWidth="1"/>
    <col min="13319" max="13319" width="13" style="2592" customWidth="1"/>
    <col min="13320" max="13321" width="8.875" style="2592"/>
    <col min="13322" max="13322" width="5.75" style="2592" customWidth="1"/>
    <col min="13323" max="13323" width="11.75" style="2592" customWidth="1"/>
    <col min="13324" max="13325" width="10.75" style="2592" customWidth="1"/>
    <col min="13326" max="13326" width="10" style="2592" customWidth="1"/>
    <col min="13327" max="13328" width="10.5" style="2592" bestFit="1" customWidth="1"/>
    <col min="13329" max="13329" width="10" style="2592" customWidth="1"/>
    <col min="13330" max="13330" width="10.125" style="2592" customWidth="1"/>
    <col min="13331" max="13331" width="10" style="2592" customWidth="1"/>
    <col min="13332" max="13332" width="26.125" style="2592" customWidth="1"/>
    <col min="13333" max="13568" width="8.875" style="2592"/>
    <col min="13569" max="13569" width="9.5" style="2592" customWidth="1"/>
    <col min="13570" max="13570" width="8.875" style="2592"/>
    <col min="13571" max="13573" width="12.875" style="2592" customWidth="1"/>
    <col min="13574" max="13574" width="47.5" style="2592" customWidth="1"/>
    <col min="13575" max="13575" width="13" style="2592" customWidth="1"/>
    <col min="13576" max="13577" width="8.875" style="2592"/>
    <col min="13578" max="13578" width="5.75" style="2592" customWidth="1"/>
    <col min="13579" max="13579" width="11.75" style="2592" customWidth="1"/>
    <col min="13580" max="13581" width="10.75" style="2592" customWidth="1"/>
    <col min="13582" max="13582" width="10" style="2592" customWidth="1"/>
    <col min="13583" max="13584" width="10.5" style="2592" bestFit="1" customWidth="1"/>
    <col min="13585" max="13585" width="10" style="2592" customWidth="1"/>
    <col min="13586" max="13586" width="10.125" style="2592" customWidth="1"/>
    <col min="13587" max="13587" width="10" style="2592" customWidth="1"/>
    <col min="13588" max="13588" width="26.125" style="2592" customWidth="1"/>
    <col min="13589" max="13824" width="8.875" style="2592"/>
    <col min="13825" max="13825" width="9.5" style="2592" customWidth="1"/>
    <col min="13826" max="13826" width="8.875" style="2592"/>
    <col min="13827" max="13829" width="12.875" style="2592" customWidth="1"/>
    <col min="13830" max="13830" width="47.5" style="2592" customWidth="1"/>
    <col min="13831" max="13831" width="13" style="2592" customWidth="1"/>
    <col min="13832" max="13833" width="8.875" style="2592"/>
    <col min="13834" max="13834" width="5.75" style="2592" customWidth="1"/>
    <col min="13835" max="13835" width="11.75" style="2592" customWidth="1"/>
    <col min="13836" max="13837" width="10.75" style="2592" customWidth="1"/>
    <col min="13838" max="13838" width="10" style="2592" customWidth="1"/>
    <col min="13839" max="13840" width="10.5" style="2592" bestFit="1" customWidth="1"/>
    <col min="13841" max="13841" width="10" style="2592" customWidth="1"/>
    <col min="13842" max="13842" width="10.125" style="2592" customWidth="1"/>
    <col min="13843" max="13843" width="10" style="2592" customWidth="1"/>
    <col min="13844" max="13844" width="26.125" style="2592" customWidth="1"/>
    <col min="13845" max="14080" width="8.875" style="2592"/>
    <col min="14081" max="14081" width="9.5" style="2592" customWidth="1"/>
    <col min="14082" max="14082" width="8.875" style="2592"/>
    <col min="14083" max="14085" width="12.875" style="2592" customWidth="1"/>
    <col min="14086" max="14086" width="47.5" style="2592" customWidth="1"/>
    <col min="14087" max="14087" width="13" style="2592" customWidth="1"/>
    <col min="14088" max="14089" width="8.875" style="2592"/>
    <col min="14090" max="14090" width="5.75" style="2592" customWidth="1"/>
    <col min="14091" max="14091" width="11.75" style="2592" customWidth="1"/>
    <col min="14092" max="14093" width="10.75" style="2592" customWidth="1"/>
    <col min="14094" max="14094" width="10" style="2592" customWidth="1"/>
    <col min="14095" max="14096" width="10.5" style="2592" bestFit="1" customWidth="1"/>
    <col min="14097" max="14097" width="10" style="2592" customWidth="1"/>
    <col min="14098" max="14098" width="10.125" style="2592" customWidth="1"/>
    <col min="14099" max="14099" width="10" style="2592" customWidth="1"/>
    <col min="14100" max="14100" width="26.125" style="2592" customWidth="1"/>
    <col min="14101" max="14336" width="8.875" style="2592"/>
    <col min="14337" max="14337" width="9.5" style="2592" customWidth="1"/>
    <col min="14338" max="14338" width="8.875" style="2592"/>
    <col min="14339" max="14341" width="12.875" style="2592" customWidth="1"/>
    <col min="14342" max="14342" width="47.5" style="2592" customWidth="1"/>
    <col min="14343" max="14343" width="13" style="2592" customWidth="1"/>
    <col min="14344" max="14345" width="8.875" style="2592"/>
    <col min="14346" max="14346" width="5.75" style="2592" customWidth="1"/>
    <col min="14347" max="14347" width="11.75" style="2592" customWidth="1"/>
    <col min="14348" max="14349" width="10.75" style="2592" customWidth="1"/>
    <col min="14350" max="14350" width="10" style="2592" customWidth="1"/>
    <col min="14351" max="14352" width="10.5" style="2592" bestFit="1" customWidth="1"/>
    <col min="14353" max="14353" width="10" style="2592" customWidth="1"/>
    <col min="14354" max="14354" width="10.125" style="2592" customWidth="1"/>
    <col min="14355" max="14355" width="10" style="2592" customWidth="1"/>
    <col min="14356" max="14356" width="26.125" style="2592" customWidth="1"/>
    <col min="14357" max="14592" width="8.875" style="2592"/>
    <col min="14593" max="14593" width="9.5" style="2592" customWidth="1"/>
    <col min="14594" max="14594" width="8.875" style="2592"/>
    <col min="14595" max="14597" width="12.875" style="2592" customWidth="1"/>
    <col min="14598" max="14598" width="47.5" style="2592" customWidth="1"/>
    <col min="14599" max="14599" width="13" style="2592" customWidth="1"/>
    <col min="14600" max="14601" width="8.875" style="2592"/>
    <col min="14602" max="14602" width="5.75" style="2592" customWidth="1"/>
    <col min="14603" max="14603" width="11.75" style="2592" customWidth="1"/>
    <col min="14604" max="14605" width="10.75" style="2592" customWidth="1"/>
    <col min="14606" max="14606" width="10" style="2592" customWidth="1"/>
    <col min="14607" max="14608" width="10.5" style="2592" bestFit="1" customWidth="1"/>
    <col min="14609" max="14609" width="10" style="2592" customWidth="1"/>
    <col min="14610" max="14610" width="10.125" style="2592" customWidth="1"/>
    <col min="14611" max="14611" width="10" style="2592" customWidth="1"/>
    <col min="14612" max="14612" width="26.125" style="2592" customWidth="1"/>
    <col min="14613" max="14848" width="8.875" style="2592"/>
    <col min="14849" max="14849" width="9.5" style="2592" customWidth="1"/>
    <col min="14850" max="14850" width="8.875" style="2592"/>
    <col min="14851" max="14853" width="12.875" style="2592" customWidth="1"/>
    <col min="14854" max="14854" width="47.5" style="2592" customWidth="1"/>
    <col min="14855" max="14855" width="13" style="2592" customWidth="1"/>
    <col min="14856" max="14857" width="8.875" style="2592"/>
    <col min="14858" max="14858" width="5.75" style="2592" customWidth="1"/>
    <col min="14859" max="14859" width="11.75" style="2592" customWidth="1"/>
    <col min="14860" max="14861" width="10.75" style="2592" customWidth="1"/>
    <col min="14862" max="14862" width="10" style="2592" customWidth="1"/>
    <col min="14863" max="14864" width="10.5" style="2592" bestFit="1" customWidth="1"/>
    <col min="14865" max="14865" width="10" style="2592" customWidth="1"/>
    <col min="14866" max="14866" width="10.125" style="2592" customWidth="1"/>
    <col min="14867" max="14867" width="10" style="2592" customWidth="1"/>
    <col min="14868" max="14868" width="26.125" style="2592" customWidth="1"/>
    <col min="14869" max="15104" width="8.875" style="2592"/>
    <col min="15105" max="15105" width="9.5" style="2592" customWidth="1"/>
    <col min="15106" max="15106" width="8.875" style="2592"/>
    <col min="15107" max="15109" width="12.875" style="2592" customWidth="1"/>
    <col min="15110" max="15110" width="47.5" style="2592" customWidth="1"/>
    <col min="15111" max="15111" width="13" style="2592" customWidth="1"/>
    <col min="15112" max="15113" width="8.875" style="2592"/>
    <col min="15114" max="15114" width="5.75" style="2592" customWidth="1"/>
    <col min="15115" max="15115" width="11.75" style="2592" customWidth="1"/>
    <col min="15116" max="15117" width="10.75" style="2592" customWidth="1"/>
    <col min="15118" max="15118" width="10" style="2592" customWidth="1"/>
    <col min="15119" max="15120" width="10.5" style="2592" bestFit="1" customWidth="1"/>
    <col min="15121" max="15121" width="10" style="2592" customWidth="1"/>
    <col min="15122" max="15122" width="10.125" style="2592" customWidth="1"/>
    <col min="15123" max="15123" width="10" style="2592" customWidth="1"/>
    <col min="15124" max="15124" width="26.125" style="2592" customWidth="1"/>
    <col min="15125" max="15360" width="8.875" style="2592"/>
    <col min="15361" max="15361" width="9.5" style="2592" customWidth="1"/>
    <col min="15362" max="15362" width="8.875" style="2592"/>
    <col min="15363" max="15365" width="12.875" style="2592" customWidth="1"/>
    <col min="15366" max="15366" width="47.5" style="2592" customWidth="1"/>
    <col min="15367" max="15367" width="13" style="2592" customWidth="1"/>
    <col min="15368" max="15369" width="8.875" style="2592"/>
    <col min="15370" max="15370" width="5.75" style="2592" customWidth="1"/>
    <col min="15371" max="15371" width="11.75" style="2592" customWidth="1"/>
    <col min="15372" max="15373" width="10.75" style="2592" customWidth="1"/>
    <col min="15374" max="15374" width="10" style="2592" customWidth="1"/>
    <col min="15375" max="15376" width="10.5" style="2592" bestFit="1" customWidth="1"/>
    <col min="15377" max="15377" width="10" style="2592" customWidth="1"/>
    <col min="15378" max="15378" width="10.125" style="2592" customWidth="1"/>
    <col min="15379" max="15379" width="10" style="2592" customWidth="1"/>
    <col min="15380" max="15380" width="26.125" style="2592" customWidth="1"/>
    <col min="15381" max="15616" width="8.875" style="2592"/>
    <col min="15617" max="15617" width="9.5" style="2592" customWidth="1"/>
    <col min="15618" max="15618" width="8.875" style="2592"/>
    <col min="15619" max="15621" width="12.875" style="2592" customWidth="1"/>
    <col min="15622" max="15622" width="47.5" style="2592" customWidth="1"/>
    <col min="15623" max="15623" width="13" style="2592" customWidth="1"/>
    <col min="15624" max="15625" width="8.875" style="2592"/>
    <col min="15626" max="15626" width="5.75" style="2592" customWidth="1"/>
    <col min="15627" max="15627" width="11.75" style="2592" customWidth="1"/>
    <col min="15628" max="15629" width="10.75" style="2592" customWidth="1"/>
    <col min="15630" max="15630" width="10" style="2592" customWidth="1"/>
    <col min="15631" max="15632" width="10.5" style="2592" bestFit="1" customWidth="1"/>
    <col min="15633" max="15633" width="10" style="2592" customWidth="1"/>
    <col min="15634" max="15634" width="10.125" style="2592" customWidth="1"/>
    <col min="15635" max="15635" width="10" style="2592" customWidth="1"/>
    <col min="15636" max="15636" width="26.125" style="2592" customWidth="1"/>
    <col min="15637" max="15872" width="8.875" style="2592"/>
    <col min="15873" max="15873" width="9.5" style="2592" customWidth="1"/>
    <col min="15874" max="15874" width="8.875" style="2592"/>
    <col min="15875" max="15877" width="12.875" style="2592" customWidth="1"/>
    <col min="15878" max="15878" width="47.5" style="2592" customWidth="1"/>
    <col min="15879" max="15879" width="13" style="2592" customWidth="1"/>
    <col min="15880" max="15881" width="8.875" style="2592"/>
    <col min="15882" max="15882" width="5.75" style="2592" customWidth="1"/>
    <col min="15883" max="15883" width="11.75" style="2592" customWidth="1"/>
    <col min="15884" max="15885" width="10.75" style="2592" customWidth="1"/>
    <col min="15886" max="15886" width="10" style="2592" customWidth="1"/>
    <col min="15887" max="15888" width="10.5" style="2592" bestFit="1" customWidth="1"/>
    <col min="15889" max="15889" width="10" style="2592" customWidth="1"/>
    <col min="15890" max="15890" width="10.125" style="2592" customWidth="1"/>
    <col min="15891" max="15891" width="10" style="2592" customWidth="1"/>
    <col min="15892" max="15892" width="26.125" style="2592" customWidth="1"/>
    <col min="15893" max="16128" width="8.875" style="2592"/>
    <col min="16129" max="16129" width="9.5" style="2592" customWidth="1"/>
    <col min="16130" max="16130" width="8.875" style="2592"/>
    <col min="16131" max="16133" width="12.875" style="2592" customWidth="1"/>
    <col min="16134" max="16134" width="47.5" style="2592" customWidth="1"/>
    <col min="16135" max="16135" width="13" style="2592" customWidth="1"/>
    <col min="16136" max="16137" width="8.875" style="2592"/>
    <col min="16138" max="16138" width="5.75" style="2592" customWidth="1"/>
    <col min="16139" max="16139" width="11.75" style="2592" customWidth="1"/>
    <col min="16140" max="16141" width="10.75" style="2592" customWidth="1"/>
    <col min="16142" max="16142" width="10" style="2592" customWidth="1"/>
    <col min="16143" max="16144" width="10.5" style="2592" bestFit="1" customWidth="1"/>
    <col min="16145" max="16145" width="10" style="2592" customWidth="1"/>
    <col min="16146" max="16146" width="10.125" style="2592" customWidth="1"/>
    <col min="16147" max="16147" width="10" style="2592" customWidth="1"/>
    <col min="16148" max="16148" width="26.125" style="2592" customWidth="1"/>
    <col min="16149" max="16384" width="8.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372" t="s">
        <v>2317</v>
      </c>
      <c r="K2" s="3373"/>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374" t="s">
        <v>2327</v>
      </c>
      <c r="K3" s="3375"/>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374" t="s">
        <v>2329</v>
      </c>
      <c r="K4" s="3375"/>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376" t="s">
        <v>2333</v>
      </c>
      <c r="B6" s="3377"/>
      <c r="C6" s="3378"/>
      <c r="D6" s="2620"/>
      <c r="E6" s="2621"/>
      <c r="F6" s="2622"/>
      <c r="G6" s="2623"/>
      <c r="H6" s="2598"/>
      <c r="I6" s="2599"/>
      <c r="J6" s="3379">
        <v>1</v>
      </c>
      <c r="K6" s="3380"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379"/>
      <c r="K7" s="3381"/>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383" t="s">
        <v>2347</v>
      </c>
      <c r="C8" s="3384"/>
      <c r="D8" s="2639" t="s">
        <v>2348</v>
      </c>
      <c r="E8" s="2640" t="s">
        <v>2349</v>
      </c>
      <c r="F8" s="2641" t="s">
        <v>2350</v>
      </c>
      <c r="G8" s="2642"/>
      <c r="H8" s="2598"/>
      <c r="I8" s="2599"/>
      <c r="J8" s="3379"/>
      <c r="K8" s="3381"/>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383" t="s">
        <v>2353</v>
      </c>
      <c r="C9" s="3384"/>
      <c r="D9" s="2639">
        <f>ROUND(D6*E9,0)</f>
        <v>0</v>
      </c>
      <c r="E9" s="2643"/>
      <c r="F9" s="2644" t="s">
        <v>2354</v>
      </c>
      <c r="G9" s="2623"/>
      <c r="H9" s="2598"/>
      <c r="I9" s="2599"/>
      <c r="J9" s="3379"/>
      <c r="K9" s="3381"/>
      <c r="L9" s="2633" t="s">
        <v>2355</v>
      </c>
      <c r="M9" s="2634"/>
      <c r="N9" s="2610"/>
      <c r="O9" s="2635"/>
      <c r="P9" s="2635"/>
      <c r="Q9" s="2636">
        <v>365</v>
      </c>
      <c r="R9" s="2637">
        <f t="shared" si="0"/>
        <v>0</v>
      </c>
      <c r="S9" s="2591"/>
      <c r="T9" s="2591"/>
      <c r="U9" s="2591"/>
      <c r="V9" s="2599"/>
    </row>
    <row r="10" spans="1:22" s="2603" customFormat="1" ht="13.15" customHeight="1">
      <c r="A10" s="2638">
        <v>2</v>
      </c>
      <c r="B10" s="3383" t="s">
        <v>2356</v>
      </c>
      <c r="C10" s="3384"/>
      <c r="D10" s="2639">
        <f>ROUND(D6*E10,0)</f>
        <v>0</v>
      </c>
      <c r="E10" s="2643"/>
      <c r="F10" s="2644" t="s">
        <v>2357</v>
      </c>
      <c r="G10" s="2623"/>
      <c r="H10" s="2598"/>
      <c r="I10" s="2599"/>
      <c r="J10" s="3379"/>
      <c r="K10" s="3381"/>
      <c r="L10" s="2633" t="s">
        <v>2358</v>
      </c>
      <c r="M10" s="2634"/>
      <c r="N10" s="2610"/>
      <c r="O10" s="2635"/>
      <c r="P10" s="2635"/>
      <c r="Q10" s="2636">
        <v>365</v>
      </c>
      <c r="R10" s="2637">
        <f t="shared" si="0"/>
        <v>0</v>
      </c>
      <c r="S10" s="2591"/>
      <c r="T10" s="2591"/>
      <c r="U10" s="2591"/>
      <c r="V10" s="2599"/>
    </row>
    <row r="11" spans="1:22" s="2603" customFormat="1" ht="13.15" customHeight="1">
      <c r="A11" s="2638">
        <v>3</v>
      </c>
      <c r="B11" s="3383" t="s">
        <v>2359</v>
      </c>
      <c r="C11" s="3384"/>
      <c r="D11" s="2639">
        <f>D12+D14+D15+D16</f>
        <v>0</v>
      </c>
      <c r="E11" s="2645" t="e">
        <f>D11/D6</f>
        <v>#DIV/0!</v>
      </c>
      <c r="F11" s="2641"/>
      <c r="G11" s="2642"/>
      <c r="H11" s="2598"/>
      <c r="I11" s="2599"/>
      <c r="J11" s="3379"/>
      <c r="K11" s="3381"/>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385" t="s">
        <v>2362</v>
      </c>
      <c r="C12" s="3386"/>
      <c r="D12" s="2647">
        <f>ROUND(D13*1.2%*(1-30%),0)</f>
        <v>0</v>
      </c>
      <c r="E12" s="2648">
        <v>1.2E-2</v>
      </c>
      <c r="F12" s="2641" t="s">
        <v>2363</v>
      </c>
      <c r="G12" s="2642"/>
      <c r="H12" s="2598"/>
      <c r="I12" s="2599"/>
      <c r="J12" s="3379"/>
      <c r="K12" s="3381"/>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379"/>
      <c r="K13" s="3381"/>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385" t="s">
        <v>2368</v>
      </c>
      <c r="C14" s="3386"/>
      <c r="D14" s="2647">
        <f>ROUND(E14*B5/10000,0)</f>
        <v>0</v>
      </c>
      <c r="E14" s="2636"/>
      <c r="F14" s="2641" t="s">
        <v>2369</v>
      </c>
      <c r="G14" s="2642"/>
      <c r="H14" s="2598"/>
      <c r="I14" s="2599"/>
      <c r="J14" s="3379"/>
      <c r="K14" s="3382"/>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385" t="s">
        <v>2372</v>
      </c>
      <c r="C15" s="3386"/>
      <c r="D15" s="2647">
        <f>ROUND(D6*E15,0)</f>
        <v>0</v>
      </c>
      <c r="E15" s="2648">
        <v>5.5E-2</v>
      </c>
      <c r="F15" s="2641" t="s">
        <v>2373</v>
      </c>
      <c r="G15" s="2623"/>
      <c r="H15" s="2598"/>
      <c r="I15" s="2599"/>
      <c r="J15" s="3379">
        <v>2</v>
      </c>
      <c r="K15" s="3380"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385" t="s">
        <v>2381</v>
      </c>
      <c r="C16" s="3386"/>
      <c r="D16" s="2658">
        <f>D6*E16</f>
        <v>0</v>
      </c>
      <c r="E16" s="2659"/>
      <c r="F16" s="2644" t="s">
        <v>2382</v>
      </c>
      <c r="G16" s="2623"/>
      <c r="H16" s="2598"/>
      <c r="I16" s="2599"/>
      <c r="J16" s="3379"/>
      <c r="K16" s="3381"/>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387" t="s">
        <v>2384</v>
      </c>
      <c r="C17" s="3388"/>
      <c r="D17" s="2661">
        <f>ROUND(D6*E17,0)</f>
        <v>0</v>
      </c>
      <c r="E17" s="2662"/>
      <c r="F17" s="2663" t="s">
        <v>2385</v>
      </c>
      <c r="G17" s="2623"/>
      <c r="H17" s="2598"/>
      <c r="I17" s="2599"/>
      <c r="J17" s="3379"/>
      <c r="K17" s="3381"/>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379"/>
      <c r="K18" s="3381"/>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379"/>
      <c r="K19" s="3382"/>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379">
        <v>3</v>
      </c>
      <c r="K20" s="3380"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379"/>
      <c r="K21" s="3381"/>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379"/>
      <c r="K22" s="3381"/>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379"/>
      <c r="K23" s="3381"/>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379"/>
      <c r="K24" s="3382"/>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38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390"/>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372" t="s">
        <v>2317</v>
      </c>
      <c r="K32" s="3373"/>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374" t="s">
        <v>2327</v>
      </c>
      <c r="K33" s="3375"/>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374" t="s">
        <v>2329</v>
      </c>
      <c r="K34" s="3375"/>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379">
        <v>1</v>
      </c>
      <c r="K36" s="3380"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379"/>
      <c r="K37" s="3381"/>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379"/>
      <c r="K38" s="3381"/>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379"/>
      <c r="K39" s="3381"/>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379"/>
      <c r="K40" s="3382"/>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389">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390"/>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642" customWidth="1"/>
    <col min="2" max="2" width="12" style="642" customWidth="1"/>
    <col min="3" max="3" width="9" style="642"/>
    <col min="4" max="4" width="14.125" style="642" customWidth="1"/>
    <col min="5" max="5" width="9" style="642"/>
    <col min="6" max="6" width="12.87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75">
      <c r="A2" s="1728" t="s">
        <v>1462</v>
      </c>
      <c r="B2" s="811">
        <f ca="1">SUMIF(B6:B13,"&lt;&gt;#ref!",B6:B13)</f>
        <v>65.195599999999999</v>
      </c>
      <c r="C2" s="1729" t="s">
        <v>1651</v>
      </c>
      <c r="D2" s="1730" t="s">
        <v>1652</v>
      </c>
      <c r="E2" s="2391">
        <f>SUM(E6:E13)</f>
        <v>32.74</v>
      </c>
      <c r="F2" s="2478"/>
      <c r="G2" s="459"/>
      <c r="H2" s="459"/>
      <c r="I2" s="459"/>
      <c r="J2" s="459"/>
      <c r="K2" s="459"/>
      <c r="L2" s="459"/>
      <c r="M2" s="459"/>
      <c r="N2" s="459"/>
      <c r="O2" s="459"/>
      <c r="P2" s="459"/>
      <c r="Q2" s="459"/>
      <c r="R2" s="459"/>
      <c r="S2" s="459"/>
    </row>
    <row r="3" spans="1:22" ht="15.75">
      <c r="A3" s="1728" t="s">
        <v>686</v>
      </c>
      <c r="B3" s="2385">
        <f ca="1">ROUND(B2*10000/E2,0)</f>
        <v>19913</v>
      </c>
      <c r="C3" s="1729" t="s">
        <v>1659</v>
      </c>
      <c r="D3" s="2478"/>
      <c r="E3" s="2481"/>
      <c r="F3" s="2478"/>
      <c r="G3" s="459"/>
      <c r="H3" s="459"/>
      <c r="I3" s="459"/>
      <c r="J3" s="459"/>
      <c r="K3" s="459"/>
      <c r="L3" s="459"/>
      <c r="M3" s="459"/>
      <c r="N3" s="459"/>
      <c r="O3" s="459"/>
      <c r="P3" s="459"/>
      <c r="Q3" s="459"/>
      <c r="R3" s="459"/>
      <c r="S3" s="459"/>
    </row>
    <row r="4" spans="1:22" ht="15.75">
      <c r="A4" s="2482"/>
      <c r="B4" s="2478"/>
      <c r="C4" s="2478"/>
      <c r="D4" s="2478"/>
      <c r="E4" s="2481"/>
      <c r="F4" s="2478"/>
      <c r="G4" s="459"/>
      <c r="H4" s="459"/>
      <c r="I4" s="459"/>
      <c r="J4" s="459"/>
      <c r="K4" s="459"/>
      <c r="L4" s="459"/>
      <c r="M4" s="459"/>
      <c r="N4" s="459"/>
      <c r="O4" s="459"/>
      <c r="P4" s="459"/>
      <c r="Q4" s="459"/>
      <c r="R4" s="459"/>
      <c r="S4" s="459"/>
    </row>
    <row r="5" spans="1:22" ht="15">
      <c r="A5" s="2387" t="s">
        <v>1653</v>
      </c>
      <c r="B5" s="3391" t="s">
        <v>1654</v>
      </c>
      <c r="C5" s="3392"/>
      <c r="D5" s="2479"/>
      <c r="E5" s="1731" t="s">
        <v>1655</v>
      </c>
      <c r="F5" s="129" t="s">
        <v>1656</v>
      </c>
      <c r="G5" s="459"/>
      <c r="H5" s="459"/>
      <c r="I5" s="459"/>
      <c r="J5" s="459"/>
      <c r="K5" s="459"/>
      <c r="L5" s="459"/>
      <c r="M5" s="459"/>
      <c r="N5" s="459"/>
      <c r="O5" s="459"/>
      <c r="P5" s="459"/>
      <c r="Q5" s="459"/>
      <c r="R5" s="459"/>
      <c r="S5" s="459"/>
    </row>
    <row r="6" spans="1:22">
      <c r="A6" s="2388" t="str">
        <f>'数据-取费表'!AN6</f>
        <v>收益法 (元)</v>
      </c>
      <c r="B6" s="2386">
        <f ca="1">IF(F6="是",'数据-取费表'!AO6,0)</f>
        <v>65.195599999999999</v>
      </c>
      <c r="C6" s="1729" t="s">
        <v>1651</v>
      </c>
      <c r="D6" s="2478"/>
      <c r="E6" s="2390">
        <f>IF(OR(A6=0,F6="否"),0,'数据-取费表'!K6+'数据-取费表'!S6)</f>
        <v>32.74</v>
      </c>
      <c r="F6" s="1732" t="s">
        <v>1657</v>
      </c>
      <c r="G6" s="459"/>
      <c r="H6" s="459"/>
      <c r="I6" s="459"/>
      <c r="J6" s="459"/>
      <c r="K6" s="459"/>
      <c r="L6" s="459"/>
      <c r="M6" s="459"/>
      <c r="N6" s="459"/>
      <c r="O6" s="459"/>
      <c r="P6" s="459"/>
      <c r="Q6" s="459"/>
      <c r="R6" s="459"/>
      <c r="S6" s="459"/>
    </row>
    <row r="7" spans="1:22">
      <c r="A7" s="2388">
        <f>'数据-取费表'!AN7</f>
        <v>0</v>
      </c>
      <c r="B7" s="2386" t="e">
        <f ca="1">IF(F7="是",'数据-取费表'!AO7,0)</f>
        <v>#REF!</v>
      </c>
      <c r="C7" s="1729" t="s">
        <v>1651</v>
      </c>
      <c r="D7" s="2478"/>
      <c r="E7" s="2390">
        <f>IF(OR(A7=0,F7="否"),0,'数据-取费表'!K7+'数据-取费表'!S7)</f>
        <v>0</v>
      </c>
      <c r="F7" s="1732" t="s">
        <v>1657</v>
      </c>
      <c r="G7" s="459"/>
      <c r="H7" s="459"/>
      <c r="I7" s="459"/>
      <c r="J7" s="459"/>
      <c r="K7" s="459"/>
      <c r="L7" s="459"/>
      <c r="M7" s="459"/>
      <c r="N7" s="459"/>
      <c r="O7" s="459"/>
      <c r="P7" s="459"/>
      <c r="Q7" s="459"/>
      <c r="R7" s="459"/>
      <c r="S7" s="459"/>
    </row>
    <row r="8" spans="1:22">
      <c r="A8" s="2388">
        <f>'数据-取费表'!AN8</f>
        <v>0</v>
      </c>
      <c r="B8" s="2386" t="e">
        <f ca="1">IF(F8="是",'数据-取费表'!AO8,0)</f>
        <v>#REF!</v>
      </c>
      <c r="C8" s="1729" t="s">
        <v>1651</v>
      </c>
      <c r="D8" s="2478"/>
      <c r="E8" s="2390">
        <f>IF(OR(A8=0,F8="否"),0,'数据-取费表'!K8+'数据-取费表'!S8)</f>
        <v>0</v>
      </c>
      <c r="F8" s="1732" t="s">
        <v>1657</v>
      </c>
      <c r="G8" s="459"/>
      <c r="H8" s="459"/>
      <c r="I8" s="459"/>
      <c r="J8" s="459"/>
      <c r="K8" s="459"/>
      <c r="L8" s="459"/>
      <c r="M8" s="459"/>
      <c r="N8" s="459"/>
      <c r="O8" s="459"/>
      <c r="P8" s="459"/>
      <c r="Q8" s="459"/>
      <c r="R8" s="459"/>
      <c r="S8" s="459"/>
    </row>
    <row r="9" spans="1:22">
      <c r="A9" s="2388">
        <f>'数据-取费表'!AN9</f>
        <v>0</v>
      </c>
      <c r="B9" s="2386" t="e">
        <f ca="1">IF(F9="是",'数据-取费表'!AO9,0)</f>
        <v>#REF!</v>
      </c>
      <c r="C9" s="1729" t="s">
        <v>1651</v>
      </c>
      <c r="D9" s="2478"/>
      <c r="E9" s="2390">
        <f>IF(OR(A9=0,F9="否"),0,'数据-取费表'!K9+'数据-取费表'!S9)</f>
        <v>0</v>
      </c>
      <c r="F9" s="1732" t="s">
        <v>1657</v>
      </c>
      <c r="G9" s="459"/>
      <c r="H9" s="459"/>
      <c r="I9" s="459"/>
      <c r="J9" s="459"/>
      <c r="K9" s="459"/>
      <c r="L9" s="459"/>
      <c r="M9" s="459"/>
      <c r="N9" s="459"/>
      <c r="O9" s="459"/>
      <c r="P9" s="459"/>
      <c r="Q9" s="459"/>
      <c r="R9" s="459"/>
      <c r="S9" s="459"/>
    </row>
    <row r="10" spans="1:22">
      <c r="A10" s="2388">
        <f>'数据-取费表'!AN10</f>
        <v>0</v>
      </c>
      <c r="B10" s="2386" t="e">
        <f ca="1">IF(F10="是",'数据-取费表'!AO10,0)</f>
        <v>#REF!</v>
      </c>
      <c r="C10" s="1729" t="s">
        <v>1651</v>
      </c>
      <c r="D10" s="2478"/>
      <c r="E10" s="2390">
        <f>IF(OR(A10=0,F10="否"),0,'数据-取费表'!K10+'数据-取费表'!S10)</f>
        <v>0</v>
      </c>
      <c r="F10" s="1732" t="s">
        <v>1657</v>
      </c>
      <c r="G10" s="459"/>
      <c r="H10" s="459"/>
      <c r="I10" s="459"/>
      <c r="J10" s="459"/>
      <c r="K10" s="459"/>
      <c r="L10" s="459"/>
      <c r="M10" s="459"/>
      <c r="N10" s="459"/>
      <c r="O10" s="459"/>
      <c r="P10" s="459"/>
      <c r="Q10" s="459"/>
      <c r="R10" s="459"/>
      <c r="S10" s="459"/>
    </row>
    <row r="11" spans="1:22">
      <c r="A11" s="2388">
        <f>'数据-取费表'!AN11</f>
        <v>0</v>
      </c>
      <c r="B11" s="2386" t="e">
        <f ca="1">IF(F11="是",'数据-取费表'!AO11,0)</f>
        <v>#REF!</v>
      </c>
      <c r="C11" s="1729" t="s">
        <v>1651</v>
      </c>
      <c r="D11" s="2478"/>
      <c r="E11" s="2390">
        <f>IF(OR(A11=0,F11="否"),0,'数据-取费表'!K11+'数据-取费表'!S11)</f>
        <v>0</v>
      </c>
      <c r="F11" s="1732" t="s">
        <v>1657</v>
      </c>
      <c r="G11" s="459"/>
      <c r="H11" s="459"/>
      <c r="I11" s="459"/>
      <c r="J11" s="459"/>
      <c r="K11" s="459"/>
      <c r="L11" s="459"/>
      <c r="M11" s="459"/>
      <c r="N11" s="459"/>
      <c r="O11" s="459"/>
      <c r="P11" s="459"/>
      <c r="Q11" s="459"/>
      <c r="R11" s="459"/>
      <c r="S11" s="459"/>
    </row>
    <row r="12" spans="1:22">
      <c r="A12" s="2388">
        <f>'数据-取费表'!AN12</f>
        <v>0</v>
      </c>
      <c r="B12" s="2386" t="e">
        <f ca="1">IF(F12="是",'数据-取费表'!AO12,0)</f>
        <v>#REF!</v>
      </c>
      <c r="C12" s="1729" t="s">
        <v>1651</v>
      </c>
      <c r="D12" s="2478"/>
      <c r="E12" s="2390">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89">
        <f>'数据-取费表'!AN13</f>
        <v>0</v>
      </c>
      <c r="B13" s="2386" t="e">
        <f ca="1">IF(F13="是",'数据-取费表'!AO13,0)</f>
        <v>#REF!</v>
      </c>
      <c r="C13" s="1733" t="s">
        <v>1651</v>
      </c>
      <c r="D13" s="2480"/>
      <c r="E13" s="2390">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799"/>
      <c r="Q1" s="1800"/>
      <c r="R1" s="1800"/>
      <c r="S1" s="1800"/>
      <c r="T1" s="1800"/>
      <c r="U1" s="1800"/>
      <c r="V1" s="1800"/>
      <c r="W1" s="1800"/>
      <c r="X1" s="1800"/>
      <c r="Y1" s="1800"/>
      <c r="Z1" s="1800"/>
      <c r="AA1" s="1800"/>
      <c r="AB1" s="1800"/>
      <c r="AC1" s="1801"/>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2"/>
      <c r="Q2" s="859"/>
      <c r="R2" s="859"/>
      <c r="S2" s="859"/>
      <c r="T2" s="859"/>
      <c r="U2" s="859"/>
      <c r="V2" s="859"/>
      <c r="W2" s="859"/>
      <c r="X2" s="859"/>
      <c r="Y2" s="859"/>
      <c r="Z2" s="859"/>
      <c r="AA2" s="859"/>
      <c r="AB2" s="859"/>
      <c r="AC2" s="1803"/>
    </row>
    <row r="3" spans="1:29" s="342" customFormat="1" ht="28.5" customHeight="1" thickBot="1">
      <c r="A3" s="195" t="s">
        <v>1464</v>
      </c>
      <c r="B3" s="536">
        <f>IF(C2="——",C49,ROUND(B2*10000/D3,0))</f>
        <v>0</v>
      </c>
      <c r="C3" s="344" t="s">
        <v>1768</v>
      </c>
      <c r="D3" s="343">
        <f>IF(D1="",'数据-汇总表'!E3,SUMIF('数据-汇总表'!$C19:$C33,D1,'数据-汇总表'!$E19:$E33))</f>
        <v>32.74</v>
      </c>
      <c r="E3" s="1803"/>
      <c r="F3" s="856"/>
      <c r="G3" s="855"/>
      <c r="H3" s="855"/>
      <c r="I3" s="855"/>
      <c r="J3" s="855"/>
      <c r="K3" s="857"/>
      <c r="L3" s="2502"/>
      <c r="M3" s="2503"/>
      <c r="N3" s="2503"/>
      <c r="O3" s="2503"/>
      <c r="P3" s="1802"/>
      <c r="Q3" s="859"/>
      <c r="R3" s="859"/>
      <c r="S3" s="859"/>
      <c r="T3" s="859"/>
      <c r="U3" s="859"/>
      <c r="V3" s="859"/>
      <c r="W3" s="859"/>
      <c r="X3" s="859"/>
      <c r="Y3" s="859"/>
      <c r="Z3" s="859"/>
      <c r="AA3" s="859"/>
      <c r="AB3" s="859"/>
      <c r="AC3" s="1803"/>
    </row>
    <row r="4" spans="1:29" ht="15">
      <c r="A4" s="345" t="s">
        <v>1769</v>
      </c>
      <c r="B4" s="346"/>
      <c r="C4" s="3412" t="s">
        <v>1770</v>
      </c>
      <c r="D4" s="3413"/>
      <c r="E4" s="3414" t="s">
        <v>1771</v>
      </c>
      <c r="F4" s="3415"/>
      <c r="G4" s="3412" t="s">
        <v>1772</v>
      </c>
      <c r="H4" s="3413"/>
      <c r="I4" s="3412" t="s">
        <v>1773</v>
      </c>
      <c r="J4" s="3413"/>
      <c r="K4" s="537" t="s">
        <v>1774</v>
      </c>
      <c r="L4" s="2485"/>
      <c r="M4" s="2486"/>
      <c r="N4" s="2486"/>
      <c r="O4" s="2486"/>
      <c r="P4" s="3416" t="s">
        <v>1775</v>
      </c>
      <c r="Q4" s="3417"/>
      <c r="R4" s="3398" t="s">
        <v>1771</v>
      </c>
      <c r="S4" s="3399"/>
      <c r="T4" s="3398" t="s">
        <v>1772</v>
      </c>
      <c r="U4" s="3399"/>
      <c r="V4" s="3424" t="s">
        <v>1773</v>
      </c>
      <c r="W4" s="3424"/>
      <c r="X4" s="1265"/>
      <c r="Y4" s="3398" t="s">
        <v>1775</v>
      </c>
      <c r="Z4" s="3399"/>
      <c r="AA4" s="3393" t="s">
        <v>1771</v>
      </c>
      <c r="AB4" s="3424" t="s">
        <v>1772</v>
      </c>
      <c r="AC4" s="3393" t="s">
        <v>1773</v>
      </c>
    </row>
    <row r="5" spans="1:29" ht="15">
      <c r="A5" s="348"/>
      <c r="B5" s="349"/>
      <c r="C5" s="3408" t="s">
        <v>1673</v>
      </c>
      <c r="D5" s="3405"/>
      <c r="E5" s="3402" t="s">
        <v>1674</v>
      </c>
      <c r="F5" s="3403"/>
      <c r="G5" s="3408" t="s">
        <v>1675</v>
      </c>
      <c r="H5" s="3405"/>
      <c r="I5" s="3408" t="s">
        <v>1676</v>
      </c>
      <c r="J5" s="3405"/>
      <c r="K5" s="537"/>
      <c r="L5" s="2485"/>
      <c r="M5" s="2486"/>
      <c r="N5" s="2486"/>
      <c r="O5" s="2486"/>
      <c r="P5" s="3418"/>
      <c r="Q5" s="3419"/>
      <c r="R5" s="3400"/>
      <c r="S5" s="3401"/>
      <c r="T5" s="3400"/>
      <c r="U5" s="3401"/>
      <c r="V5" s="3424"/>
      <c r="W5" s="3424"/>
      <c r="X5" s="1265"/>
      <c r="Y5" s="3400"/>
      <c r="Z5" s="3401"/>
      <c r="AA5" s="3394"/>
      <c r="AB5" s="3424"/>
      <c r="AC5" s="3394"/>
    </row>
    <row r="6" spans="1:29" ht="15.75" thickBot="1">
      <c r="A6" s="350"/>
      <c r="B6" s="351"/>
      <c r="C6" s="3406" t="s">
        <v>1677</v>
      </c>
      <c r="D6" s="3407"/>
      <c r="E6" s="3409" t="s">
        <v>1677</v>
      </c>
      <c r="F6" s="3410"/>
      <c r="G6" s="3406" t="s">
        <v>1677</v>
      </c>
      <c r="H6" s="3407"/>
      <c r="I6" s="3406" t="s">
        <v>1677</v>
      </c>
      <c r="J6" s="3407"/>
      <c r="K6" s="537" t="s">
        <v>1678</v>
      </c>
      <c r="L6" s="2485"/>
      <c r="M6" s="2486"/>
      <c r="N6" s="2486"/>
      <c r="O6" s="2486"/>
      <c r="P6" s="3420"/>
      <c r="Q6" s="3421"/>
      <c r="R6" s="3400"/>
      <c r="S6" s="3401"/>
      <c r="T6" s="3422"/>
      <c r="U6" s="3423"/>
      <c r="V6" s="3424"/>
      <c r="W6" s="3424"/>
      <c r="X6" s="1265"/>
      <c r="Y6" s="3422"/>
      <c r="Z6" s="3423"/>
      <c r="AA6" s="3395"/>
      <c r="AB6" s="3424"/>
      <c r="AC6" s="3395"/>
    </row>
    <row r="7" spans="1:29" s="102" customFormat="1" ht="15.75" thickBot="1">
      <c r="A7" s="352" t="s">
        <v>1679</v>
      </c>
      <c r="B7" s="353"/>
      <c r="C7" s="354">
        <f>'数据-取费表'!B2</f>
        <v>46015</v>
      </c>
      <c r="D7" s="355">
        <v>100</v>
      </c>
      <c r="E7" s="356"/>
      <c r="F7" s="357">
        <f>SUMIF(58:58,YEAR(E7)&amp;"-"&amp;MONTH(E7),59:59)</f>
        <v>0</v>
      </c>
      <c r="G7" s="356"/>
      <c r="H7" s="355">
        <f>SUMIF(58:58,YEAR(G7)&amp;"-"&amp;MONTH(G7),59:59)</f>
        <v>0</v>
      </c>
      <c r="I7" s="356"/>
      <c r="J7" s="355">
        <f>SUMIF(58:58,YEAR(I7)&amp;"-"&amp;MONTH(I7),59:59)</f>
        <v>0</v>
      </c>
      <c r="K7" s="38"/>
      <c r="L7" s="2487"/>
      <c r="M7" s="2438"/>
      <c r="N7" s="2438"/>
      <c r="O7" s="2438"/>
      <c r="P7" s="3396" t="s">
        <v>1680</v>
      </c>
      <c r="Q7" s="3425"/>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8"/>
      <c r="N9" s="2438"/>
      <c r="O9" s="2438"/>
      <c r="P9" s="3411"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411"/>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8"/>
      <c r="N12" s="2438"/>
      <c r="O12" s="2438"/>
      <c r="P12" s="3411"/>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411"/>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411"/>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71.25">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37" t="s">
        <v>1691</v>
      </c>
      <c r="Q15" s="1263" t="str">
        <f t="shared" si="6"/>
        <v>商业繁华度</v>
      </c>
      <c r="R15" s="667" t="s">
        <v>14</v>
      </c>
      <c r="S15" s="668">
        <f t="shared" si="0"/>
        <v>100</v>
      </c>
      <c r="T15" s="667" t="s">
        <v>14</v>
      </c>
      <c r="U15" s="668">
        <f t="shared" si="1"/>
        <v>100</v>
      </c>
      <c r="V15" s="667" t="s">
        <v>14</v>
      </c>
      <c r="W15" s="668">
        <f t="shared" si="2"/>
        <v>100</v>
      </c>
      <c r="X15" s="1265"/>
      <c r="Y15" s="3430"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438"/>
      <c r="Q16" s="1263"/>
      <c r="R16" s="667"/>
      <c r="S16" s="668"/>
      <c r="T16" s="667"/>
      <c r="U16" s="668"/>
      <c r="V16" s="667"/>
      <c r="W16" s="668"/>
      <c r="X16" s="1265"/>
      <c r="Y16" s="3431"/>
      <c r="Z16" s="1264"/>
      <c r="AA16" s="1264">
        <v>1</v>
      </c>
      <c r="AB16" s="1264">
        <v>1</v>
      </c>
      <c r="AC16" s="1264">
        <v>1</v>
      </c>
    </row>
    <row r="17" spans="1:29" ht="85.5">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438"/>
      <c r="Q18" s="1263"/>
      <c r="R18" s="667"/>
      <c r="S18" s="668"/>
      <c r="T18" s="667"/>
      <c r="U18" s="668"/>
      <c r="V18" s="667"/>
      <c r="W18" s="668"/>
      <c r="X18" s="1265"/>
      <c r="Y18" s="3431"/>
      <c r="Z18" s="1264"/>
      <c r="AA18" s="1264">
        <v>1</v>
      </c>
      <c r="AB18" s="1264">
        <v>1</v>
      </c>
      <c r="AC18" s="1264">
        <v>1</v>
      </c>
    </row>
    <row r="19" spans="1:29" ht="42.75">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438"/>
      <c r="Q20" s="1263"/>
      <c r="R20" s="667"/>
      <c r="S20" s="668"/>
      <c r="T20" s="667"/>
      <c r="U20" s="668"/>
      <c r="V20" s="667"/>
      <c r="W20" s="668"/>
      <c r="X20" s="1265"/>
      <c r="Y20" s="3431"/>
      <c r="Z20" s="1264"/>
      <c r="AA20" s="1264">
        <v>1</v>
      </c>
      <c r="AB20" s="1264">
        <v>1</v>
      </c>
      <c r="AC20" s="1264">
        <v>1</v>
      </c>
    </row>
    <row r="21" spans="1:29" ht="28.5">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438"/>
      <c r="Q22" s="1263"/>
      <c r="R22" s="667"/>
      <c r="S22" s="668"/>
      <c r="T22" s="667"/>
      <c r="U22" s="668"/>
      <c r="V22" s="667"/>
      <c r="W22" s="668"/>
      <c r="X22" s="1265"/>
      <c r="Y22" s="3431"/>
      <c r="Z22" s="1264"/>
      <c r="AA22" s="1264">
        <v>1</v>
      </c>
      <c r="AB22" s="1264">
        <v>1</v>
      </c>
      <c r="AC22" s="1264">
        <v>1</v>
      </c>
    </row>
    <row r="23" spans="1:29" ht="57">
      <c r="A23" s="367"/>
      <c r="B23" s="390" t="s">
        <v>1261</v>
      </c>
      <c r="C23" s="1804"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38"/>
      <c r="Q23" s="1263" t="str">
        <f>B23</f>
        <v>自然及人文环境</v>
      </c>
      <c r="R23" s="667" t="s">
        <v>14</v>
      </c>
      <c r="S23" s="668">
        <f>F23</f>
        <v>100</v>
      </c>
      <c r="T23" s="667" t="s">
        <v>14</v>
      </c>
      <c r="U23" s="668">
        <f>H23</f>
        <v>100</v>
      </c>
      <c r="V23" s="667" t="s">
        <v>14</v>
      </c>
      <c r="W23" s="668">
        <f>J23</f>
        <v>100</v>
      </c>
      <c r="X23" s="1265"/>
      <c r="Y23" s="3431"/>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438"/>
      <c r="Q24" s="1263"/>
      <c r="R24" s="667"/>
      <c r="S24" s="668"/>
      <c r="T24" s="667"/>
      <c r="U24" s="668"/>
      <c r="V24" s="667"/>
      <c r="W24" s="668"/>
      <c r="X24" s="1265"/>
      <c r="Y24" s="3431"/>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38"/>
      <c r="Q25" s="1263" t="str">
        <f t="shared" ref="Q25:Q46" si="11">B25</f>
        <v>临街状况</v>
      </c>
      <c r="R25" s="667" t="s">
        <v>14</v>
      </c>
      <c r="S25" s="668">
        <f>F25</f>
        <v>100</v>
      </c>
      <c r="T25" s="667" t="s">
        <v>14</v>
      </c>
      <c r="U25" s="668">
        <f>H25</f>
        <v>100</v>
      </c>
      <c r="V25" s="667" t="s">
        <v>14</v>
      </c>
      <c r="W25" s="668">
        <f>J25</f>
        <v>100</v>
      </c>
      <c r="X25" s="1265"/>
      <c r="Y25" s="3431"/>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38"/>
      <c r="Q26" s="1263" t="str">
        <f t="shared" si="11"/>
        <v>平面位置/可视性</v>
      </c>
      <c r="R26" s="667" t="s">
        <v>14</v>
      </c>
      <c r="S26" s="668">
        <f>F26</f>
        <v>100</v>
      </c>
      <c r="T26" s="667" t="s">
        <v>14</v>
      </c>
      <c r="U26" s="668">
        <f>H26</f>
        <v>100</v>
      </c>
      <c r="V26" s="667" t="s">
        <v>14</v>
      </c>
      <c r="W26" s="668">
        <f>J26</f>
        <v>100</v>
      </c>
      <c r="X26" s="1265"/>
      <c r="Y26" s="3431"/>
      <c r="Z26" s="1264" t="str">
        <f>Q26</f>
        <v>平面位置/可视性</v>
      </c>
      <c r="AA26" s="1264">
        <f t="shared" si="3"/>
        <v>1</v>
      </c>
      <c r="AB26" s="1264">
        <f t="shared" si="4"/>
        <v>1</v>
      </c>
      <c r="AC26" s="1264">
        <f t="shared" si="5"/>
        <v>1</v>
      </c>
    </row>
    <row r="27" spans="1:29" s="102" customFormat="1" ht="15">
      <c r="A27" s="370"/>
      <c r="B27" s="390" t="s">
        <v>1782</v>
      </c>
      <c r="C27" s="1805"/>
      <c r="D27" s="401">
        <v>100</v>
      </c>
      <c r="E27" s="1805"/>
      <c r="F27" s="395">
        <f>SUMIF(90:90,E27,91:91)-SUMIF(90:90,C27,91:91)+100</f>
        <v>100</v>
      </c>
      <c r="G27" s="1805"/>
      <c r="H27" s="401">
        <f>SUMIF(90:90,G27,91:91)-SUMIF(90:90,C27,91:91)+100</f>
        <v>100</v>
      </c>
      <c r="I27" s="1805"/>
      <c r="J27" s="401">
        <f>SUMIF(90:90,I27,91:91)-SUMIF(90:90,C27,91:91)+100</f>
        <v>100</v>
      </c>
      <c r="K27" s="538"/>
      <c r="L27" s="2487"/>
      <c r="M27" s="2438"/>
      <c r="N27" s="2438"/>
      <c r="O27" s="2438"/>
      <c r="P27" s="3438"/>
      <c r="Q27" s="530" t="str">
        <f t="shared" si="11"/>
        <v>人流量</v>
      </c>
      <c r="R27" s="664" t="s">
        <v>14</v>
      </c>
      <c r="S27" s="665">
        <f>F27</f>
        <v>100</v>
      </c>
      <c r="T27" s="664" t="s">
        <v>14</v>
      </c>
      <c r="U27" s="665">
        <f>H27</f>
        <v>100</v>
      </c>
      <c r="V27" s="664" t="s">
        <v>14</v>
      </c>
      <c r="W27" s="665">
        <f>J27</f>
        <v>100</v>
      </c>
      <c r="X27" s="666"/>
      <c r="Y27" s="3431"/>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38"/>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31"/>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38"/>
      <c r="Q29" s="1263">
        <f t="shared" si="11"/>
        <v>111</v>
      </c>
      <c r="R29" s="667" t="s">
        <v>14</v>
      </c>
      <c r="S29" s="668">
        <f t="shared" si="12"/>
        <v>100</v>
      </c>
      <c r="T29" s="667" t="s">
        <v>14</v>
      </c>
      <c r="U29" s="668">
        <f t="shared" si="13"/>
        <v>100</v>
      </c>
      <c r="V29" s="667" t="s">
        <v>14</v>
      </c>
      <c r="W29" s="668">
        <f t="shared" si="14"/>
        <v>100</v>
      </c>
      <c r="X29" s="1265"/>
      <c r="Y29" s="3431"/>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264">
        <f t="shared" si="5"/>
        <v>1</v>
      </c>
    </row>
    <row r="31" spans="1:29" ht="15.75"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32" t="s">
        <v>1696</v>
      </c>
      <c r="Q32" s="1263" t="str">
        <f t="shared" si="11"/>
        <v>商业类型</v>
      </c>
      <c r="R32" s="667" t="s">
        <v>14</v>
      </c>
      <c r="S32" s="668">
        <f t="shared" si="12"/>
        <v>100</v>
      </c>
      <c r="T32" s="667" t="s">
        <v>14</v>
      </c>
      <c r="U32" s="668">
        <f t="shared" si="13"/>
        <v>100</v>
      </c>
      <c r="V32" s="667" t="s">
        <v>14</v>
      </c>
      <c r="W32" s="668">
        <f t="shared" si="14"/>
        <v>100</v>
      </c>
      <c r="X32" s="1265"/>
      <c r="Y32" s="3435"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33"/>
      <c r="Q33" s="531" t="str">
        <f t="shared" si="11"/>
        <v>项目建筑规模</v>
      </c>
      <c r="R33" s="669" t="s">
        <v>14</v>
      </c>
      <c r="S33" s="670" t="e">
        <f t="shared" si="12"/>
        <v>#N/A</v>
      </c>
      <c r="T33" s="669" t="s">
        <v>14</v>
      </c>
      <c r="U33" s="670" t="e">
        <f t="shared" si="13"/>
        <v>#N/A</v>
      </c>
      <c r="V33" s="669" t="s">
        <v>14</v>
      </c>
      <c r="W33" s="670" t="e">
        <f t="shared" si="14"/>
        <v>#N/A</v>
      </c>
      <c r="X33" s="671"/>
      <c r="Y33" s="3435"/>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33"/>
      <c r="Q34" s="1263" t="str">
        <f t="shared" si="11"/>
        <v>建筑结构</v>
      </c>
      <c r="R34" s="667" t="s">
        <v>14</v>
      </c>
      <c r="S34" s="668">
        <f t="shared" si="12"/>
        <v>100</v>
      </c>
      <c r="T34" s="667" t="s">
        <v>14</v>
      </c>
      <c r="U34" s="668">
        <f t="shared" si="13"/>
        <v>100</v>
      </c>
      <c r="V34" s="667" t="s">
        <v>14</v>
      </c>
      <c r="W34" s="668">
        <f t="shared" si="14"/>
        <v>100</v>
      </c>
      <c r="X34" s="1265"/>
      <c r="Y34" s="3435"/>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33"/>
      <c r="Q35" s="1263" t="str">
        <f t="shared" si="11"/>
        <v>公共部分装修</v>
      </c>
      <c r="R35" s="667" t="s">
        <v>14</v>
      </c>
      <c r="S35" s="668">
        <f t="shared" si="12"/>
        <v>100</v>
      </c>
      <c r="T35" s="667" t="s">
        <v>14</v>
      </c>
      <c r="U35" s="668">
        <f t="shared" si="13"/>
        <v>100</v>
      </c>
      <c r="V35" s="667" t="s">
        <v>14</v>
      </c>
      <c r="W35" s="668">
        <f t="shared" si="14"/>
        <v>100</v>
      </c>
      <c r="X35" s="1265"/>
      <c r="Y35" s="3435"/>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33"/>
      <c r="Q36" s="1263" t="str">
        <f t="shared" si="11"/>
        <v>成新度</v>
      </c>
      <c r="R36" s="667" t="s">
        <v>14</v>
      </c>
      <c r="S36" s="668" t="e">
        <f t="shared" si="12"/>
        <v>#N/A</v>
      </c>
      <c r="T36" s="667" t="s">
        <v>14</v>
      </c>
      <c r="U36" s="668" t="e">
        <f t="shared" si="13"/>
        <v>#N/A</v>
      </c>
      <c r="V36" s="667" t="s">
        <v>14</v>
      </c>
      <c r="W36" s="668" t="e">
        <f t="shared" si="14"/>
        <v>#N/A</v>
      </c>
      <c r="X36" s="1265"/>
      <c r="Y36" s="3435"/>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8"/>
      <c r="N37" s="2438"/>
      <c r="O37" s="2438"/>
      <c r="P37" s="3433"/>
      <c r="Q37" s="530" t="str">
        <f t="shared" si="11"/>
        <v>市政基础设施</v>
      </c>
      <c r="R37" s="664" t="s">
        <v>14</v>
      </c>
      <c r="S37" s="665">
        <f t="shared" si="12"/>
        <v>100</v>
      </c>
      <c r="T37" s="664" t="s">
        <v>14</v>
      </c>
      <c r="U37" s="665">
        <f t="shared" si="13"/>
        <v>100</v>
      </c>
      <c r="V37" s="664" t="s">
        <v>14</v>
      </c>
      <c r="W37" s="665">
        <f t="shared" si="14"/>
        <v>100</v>
      </c>
      <c r="X37" s="666"/>
      <c r="Y37" s="3435"/>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33" t="s">
        <v>1696</v>
      </c>
      <c r="Q38" s="1263" t="str">
        <f t="shared" si="11"/>
        <v>业态</v>
      </c>
      <c r="R38" s="667" t="s">
        <v>14</v>
      </c>
      <c r="S38" s="668">
        <f t="shared" si="12"/>
        <v>100</v>
      </c>
      <c r="T38" s="667" t="s">
        <v>14</v>
      </c>
      <c r="U38" s="668">
        <f t="shared" si="13"/>
        <v>100</v>
      </c>
      <c r="V38" s="667" t="s">
        <v>14</v>
      </c>
      <c r="W38" s="668">
        <f t="shared" si="14"/>
        <v>100</v>
      </c>
      <c r="X38" s="1265"/>
      <c r="Y38" s="3435"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33"/>
      <c r="Q39" s="1263" t="str">
        <f t="shared" si="11"/>
        <v>层高</v>
      </c>
      <c r="R39" s="667" t="s">
        <v>14</v>
      </c>
      <c r="S39" s="668">
        <f t="shared" si="12"/>
        <v>100</v>
      </c>
      <c r="T39" s="667" t="s">
        <v>14</v>
      </c>
      <c r="U39" s="668">
        <f t="shared" si="13"/>
        <v>100</v>
      </c>
      <c r="V39" s="667" t="s">
        <v>14</v>
      </c>
      <c r="W39" s="668">
        <f t="shared" si="14"/>
        <v>100</v>
      </c>
      <c r="X39" s="1265"/>
      <c r="Y39" s="3435"/>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33"/>
      <c r="Q40" s="1263" t="str">
        <f t="shared" si="11"/>
        <v>单套建筑面积</v>
      </c>
      <c r="R40" s="667" t="s">
        <v>14</v>
      </c>
      <c r="S40" s="668">
        <f t="shared" si="12"/>
        <v>100</v>
      </c>
      <c r="T40" s="667" t="s">
        <v>14</v>
      </c>
      <c r="U40" s="668">
        <f t="shared" si="13"/>
        <v>100</v>
      </c>
      <c r="V40" s="667" t="s">
        <v>14</v>
      </c>
      <c r="W40" s="668">
        <f t="shared" si="14"/>
        <v>100</v>
      </c>
      <c r="X40" s="1265"/>
      <c r="Y40" s="3435"/>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33"/>
      <c r="Q41" s="531" t="str">
        <f t="shared" si="11"/>
        <v>进深比</v>
      </c>
      <c r="R41" s="669" t="s">
        <v>14</v>
      </c>
      <c r="S41" s="670">
        <f t="shared" si="12"/>
        <v>100</v>
      </c>
      <c r="T41" s="669" t="s">
        <v>14</v>
      </c>
      <c r="U41" s="670">
        <f t="shared" si="13"/>
        <v>100</v>
      </c>
      <c r="V41" s="669" t="s">
        <v>14</v>
      </c>
      <c r="W41" s="670">
        <f t="shared" si="14"/>
        <v>100</v>
      </c>
      <c r="X41" s="671"/>
      <c r="Y41" s="3435"/>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33"/>
      <c r="Q42" s="1263" t="str">
        <f t="shared" si="11"/>
        <v>内部装修</v>
      </c>
      <c r="R42" s="667" t="s">
        <v>14</v>
      </c>
      <c r="S42" s="668">
        <f t="shared" si="12"/>
        <v>100</v>
      </c>
      <c r="T42" s="667" t="s">
        <v>14</v>
      </c>
      <c r="U42" s="668">
        <f t="shared" si="13"/>
        <v>100</v>
      </c>
      <c r="V42" s="667" t="s">
        <v>14</v>
      </c>
      <c r="W42" s="668">
        <f t="shared" si="14"/>
        <v>100</v>
      </c>
      <c r="X42" s="1265"/>
      <c r="Y42" s="3435"/>
      <c r="Z42" s="1264" t="str">
        <f t="shared" si="15"/>
        <v>内部装修</v>
      </c>
      <c r="AA42" s="1264">
        <f t="shared" si="3"/>
        <v>1</v>
      </c>
      <c r="AB42" s="1264">
        <f t="shared" si="4"/>
        <v>1</v>
      </c>
      <c r="AC42" s="1264">
        <f t="shared" si="5"/>
        <v>1</v>
      </c>
    </row>
    <row r="43" spans="1:29" ht="15">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33"/>
      <c r="Q43" s="1263" t="str">
        <f t="shared" si="11"/>
        <v>内部装修维护情况</v>
      </c>
      <c r="R43" s="667" t="s">
        <v>14</v>
      </c>
      <c r="S43" s="668">
        <f t="shared" si="12"/>
        <v>100</v>
      </c>
      <c r="T43" s="667" t="s">
        <v>14</v>
      </c>
      <c r="U43" s="668">
        <f t="shared" si="13"/>
        <v>100</v>
      </c>
      <c r="V43" s="667" t="s">
        <v>14</v>
      </c>
      <c r="W43" s="668">
        <f t="shared" si="14"/>
        <v>100</v>
      </c>
      <c r="X43" s="1265"/>
      <c r="Y43" s="3435"/>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8"/>
      <c r="N44" s="2438"/>
      <c r="O44" s="2438"/>
      <c r="P44" s="3433"/>
      <c r="Q44" s="530">
        <f t="shared" si="11"/>
        <v>111</v>
      </c>
      <c r="R44" s="664" t="s">
        <v>14</v>
      </c>
      <c r="S44" s="665">
        <f t="shared" si="12"/>
        <v>100</v>
      </c>
      <c r="T44" s="664" t="s">
        <v>14</v>
      </c>
      <c r="U44" s="665">
        <f t="shared" si="13"/>
        <v>100</v>
      </c>
      <c r="V44" s="664" t="s">
        <v>14</v>
      </c>
      <c r="W44" s="665">
        <f t="shared" si="14"/>
        <v>100</v>
      </c>
      <c r="X44" s="666"/>
      <c r="Y44" s="3435"/>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33"/>
      <c r="Q45" s="1263">
        <f t="shared" si="11"/>
        <v>111</v>
      </c>
      <c r="R45" s="667" t="s">
        <v>14</v>
      </c>
      <c r="S45" s="668">
        <f t="shared" si="12"/>
        <v>100</v>
      </c>
      <c r="T45" s="667" t="s">
        <v>14</v>
      </c>
      <c r="U45" s="668">
        <f t="shared" si="13"/>
        <v>100</v>
      </c>
      <c r="V45" s="667" t="s">
        <v>14</v>
      </c>
      <c r="W45" s="668">
        <f t="shared" si="14"/>
        <v>100</v>
      </c>
      <c r="X45" s="1265"/>
      <c r="Y45" s="3435"/>
      <c r="Z45" s="1264">
        <f t="shared" si="15"/>
        <v>111</v>
      </c>
      <c r="AA45" s="1264">
        <f t="shared" si="3"/>
        <v>1</v>
      </c>
      <c r="AB45" s="1264">
        <f t="shared" si="4"/>
        <v>1</v>
      </c>
      <c r="AC45" s="1264">
        <f t="shared" si="5"/>
        <v>1</v>
      </c>
    </row>
    <row r="46" spans="1:29" ht="15.75"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34"/>
      <c r="Q46" s="1263">
        <f t="shared" si="11"/>
        <v>111</v>
      </c>
      <c r="R46" s="667" t="s">
        <v>14</v>
      </c>
      <c r="S46" s="668">
        <f t="shared" si="12"/>
        <v>100</v>
      </c>
      <c r="T46" s="667" t="s">
        <v>14</v>
      </c>
      <c r="U46" s="668">
        <f t="shared" si="13"/>
        <v>100</v>
      </c>
      <c r="V46" s="667" t="s">
        <v>14</v>
      </c>
      <c r="W46" s="668">
        <f t="shared" si="14"/>
        <v>100</v>
      </c>
      <c r="X46" s="1265"/>
      <c r="Y46" s="3436"/>
      <c r="Z46" s="1264">
        <f t="shared" si="15"/>
        <v>111</v>
      </c>
      <c r="AA46" s="1264">
        <f t="shared" si="3"/>
        <v>1</v>
      </c>
      <c r="AB46" s="1264">
        <f t="shared" si="4"/>
        <v>1</v>
      </c>
      <c r="AC46" s="1264">
        <f t="shared" si="5"/>
        <v>1</v>
      </c>
    </row>
    <row r="47" spans="1:29" ht="15">
      <c r="A47" s="416" t="s">
        <v>1708</v>
      </c>
      <c r="B47" s="417"/>
      <c r="C47" s="1081" t="s">
        <v>0</v>
      </c>
      <c r="D47" s="418"/>
      <c r="E47" s="419"/>
      <c r="F47" s="420"/>
      <c r="G47" s="421"/>
      <c r="H47" s="422"/>
      <c r="I47" s="419"/>
      <c r="J47" s="422"/>
      <c r="K47" s="674"/>
      <c r="L47" s="2493"/>
      <c r="M47" s="2486"/>
      <c r="N47" s="2486"/>
      <c r="O47" s="2486"/>
      <c r="P47" s="3429" t="str">
        <f>A47</f>
        <v>成交单价（元/平方米）</v>
      </c>
      <c r="Q47" s="3429"/>
      <c r="R47" s="3424">
        <f>E47</f>
        <v>0</v>
      </c>
      <c r="S47" s="3424"/>
      <c r="T47" s="3424">
        <f>G47</f>
        <v>0</v>
      </c>
      <c r="U47" s="3424"/>
      <c r="V47" s="3424">
        <f>I47</f>
        <v>0</v>
      </c>
      <c r="W47" s="3424"/>
      <c r="X47" s="385"/>
      <c r="Y47" s="673"/>
      <c r="Z47" s="385"/>
      <c r="AA47" s="385"/>
      <c r="AB47" s="385"/>
      <c r="AC47" s="385"/>
    </row>
    <row r="48" spans="1:29" ht="15.75" thickBot="1">
      <c r="A48" s="423" t="s">
        <v>1793</v>
      </c>
      <c r="B48" s="424"/>
      <c r="C48" s="1082" t="e">
        <f>R49</f>
        <v>#DIV/0!</v>
      </c>
      <c r="D48" s="2139" t="s">
        <v>2138</v>
      </c>
      <c r="E48" s="1083" t="e">
        <f>R48</f>
        <v>#DIV/0!</v>
      </c>
      <c r="F48" s="2140"/>
      <c r="G48" s="1082" t="e">
        <f>T48</f>
        <v>#DIV/0!</v>
      </c>
      <c r="H48" s="2140"/>
      <c r="I48" s="1083" t="e">
        <f>V48</f>
        <v>#DIV/0!</v>
      </c>
      <c r="J48" s="2140"/>
      <c r="K48" s="2142">
        <f>F48+H48+J48</f>
        <v>0</v>
      </c>
      <c r="L48" s="2493"/>
      <c r="M48" s="2486"/>
      <c r="N48" s="2486"/>
      <c r="O48" s="2486"/>
      <c r="P48" s="3429" t="str">
        <f>A48</f>
        <v>比较价值（元/平方米）</v>
      </c>
      <c r="Q48" s="3429"/>
      <c r="R48" s="3424" t="e">
        <f>IF(F1="售价",ROUND(PRODUCT(R47,AA7:AA46),0),ROUND(PRODUCT(R47,AA7:AA46),1))</f>
        <v>#DIV/0!</v>
      </c>
      <c r="S48" s="3424"/>
      <c r="T48" s="3424" t="e">
        <f>IF(F1="售价",ROUND(PRODUCT(T47,AB7:AB46),0),ROUND(PRODUCT(T47,AB7:AB46),1))</f>
        <v>#DIV/0!</v>
      </c>
      <c r="U48" s="3424"/>
      <c r="V48" s="3424" t="e">
        <f>IF(F1="售价",ROUND(PRODUCT(V47,AC7:AC46),0),ROUND(PRODUCT(V47,AC7:AC46),1))</f>
        <v>#DIV/0!</v>
      </c>
      <c r="W48" s="3424"/>
      <c r="X48" s="385"/>
      <c r="Y48" s="385"/>
      <c r="Z48" s="385"/>
      <c r="AA48" s="385"/>
      <c r="AB48" s="385"/>
      <c r="AC48" s="385"/>
    </row>
    <row r="49" spans="1:29" ht="15.75" thickBot="1">
      <c r="A49" s="427" t="s">
        <v>1794</v>
      </c>
      <c r="B49" s="428"/>
      <c r="C49" s="351" t="e">
        <f>R49</f>
        <v>#DIV/0!</v>
      </c>
      <c r="D49" s="351"/>
      <c r="E49" s="351"/>
      <c r="F49" s="351"/>
      <c r="G49" s="351"/>
      <c r="H49" s="351"/>
      <c r="I49" s="351"/>
      <c r="J49" s="351"/>
      <c r="K49" s="675"/>
      <c r="L49" s="2493"/>
      <c r="M49" s="2486"/>
      <c r="N49" s="2486"/>
      <c r="O49" s="2486"/>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7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5">
      <c r="A58" s="440" t="s">
        <v>1679</v>
      </c>
      <c r="B58" s="441"/>
      <c r="C58" s="1103" t="str">
        <f>YEAR(C7)&amp;"-"&amp;MONTH(C7)</f>
        <v>2025-12</v>
      </c>
      <c r="D58" s="1104">
        <f>EDATE(C58,-1)</f>
        <v>45962</v>
      </c>
      <c r="E58" s="1104">
        <f t="shared" ref="E58:N58" si="16">EDATE(D58,-1)</f>
        <v>45931</v>
      </c>
      <c r="F58" s="1104">
        <f t="shared" si="16"/>
        <v>45901</v>
      </c>
      <c r="G58" s="1104">
        <f t="shared" si="16"/>
        <v>45870</v>
      </c>
      <c r="H58" s="1104">
        <f t="shared" si="16"/>
        <v>45839</v>
      </c>
      <c r="I58" s="1104">
        <f t="shared" si="16"/>
        <v>45809</v>
      </c>
      <c r="J58" s="1104">
        <f t="shared" si="16"/>
        <v>45778</v>
      </c>
      <c r="K58" s="1104">
        <f t="shared" si="16"/>
        <v>45748</v>
      </c>
      <c r="L58" s="1104">
        <f t="shared" si="16"/>
        <v>45717</v>
      </c>
      <c r="M58" s="1104">
        <f t="shared" si="16"/>
        <v>45689</v>
      </c>
      <c r="N58" s="1104">
        <f t="shared" si="16"/>
        <v>45658</v>
      </c>
      <c r="O58" s="1104">
        <f>EDATE(N58,-1)</f>
        <v>45627</v>
      </c>
      <c r="P58" s="2508"/>
      <c r="Q58" s="2509"/>
      <c r="R58" s="2509"/>
      <c r="S58" s="2509"/>
      <c r="T58" s="2509"/>
      <c r="U58" s="2509"/>
      <c r="V58" s="2509"/>
      <c r="W58" s="2509"/>
      <c r="X58" s="2509"/>
      <c r="Y58" s="2509"/>
      <c r="Z58" s="2509"/>
      <c r="AA58" s="2509"/>
      <c r="AB58" s="2509"/>
      <c r="AC58" s="2509"/>
    </row>
    <row r="59" spans="1:29" s="102" customFormat="1" ht="15">
      <c r="A59" s="443"/>
      <c r="B59" s="444"/>
      <c r="C59" s="1102">
        <v>100</v>
      </c>
      <c r="D59" s="446"/>
      <c r="E59" s="446"/>
      <c r="F59" s="446"/>
      <c r="G59" s="446"/>
      <c r="H59" s="446"/>
      <c r="I59" s="446"/>
      <c r="J59" s="446"/>
      <c r="K59" s="446"/>
      <c r="L59" s="446"/>
      <c r="M59" s="447"/>
      <c r="N59" s="446"/>
      <c r="O59" s="447"/>
      <c r="P59" s="2510"/>
      <c r="Q59" s="2438"/>
      <c r="R59" s="2438"/>
      <c r="S59" s="2438"/>
      <c r="T59" s="2438"/>
      <c r="U59" s="2438"/>
      <c r="V59" s="2438"/>
      <c r="W59" s="2438"/>
      <c r="X59" s="2438"/>
      <c r="Y59" s="2438"/>
      <c r="Z59" s="2438"/>
      <c r="AA59" s="2438"/>
      <c r="AB59" s="2438"/>
      <c r="AC59" s="2438"/>
    </row>
    <row r="60" spans="1:29" s="102" customFormat="1" ht="15.75" thickBot="1">
      <c r="A60" s="449" t="s">
        <v>1716</v>
      </c>
      <c r="B60" s="450"/>
      <c r="C60" s="451"/>
      <c r="D60" s="452"/>
      <c r="E60" s="452"/>
      <c r="F60" s="452"/>
      <c r="G60" s="452"/>
      <c r="H60" s="452"/>
      <c r="I60" s="452"/>
      <c r="J60" s="452"/>
      <c r="K60" s="452"/>
      <c r="L60" s="452"/>
      <c r="M60" s="453"/>
      <c r="N60" s="452"/>
      <c r="O60" s="453"/>
      <c r="P60" s="2510"/>
      <c r="Q60" s="2507"/>
      <c r="R60" s="2438"/>
      <c r="S60" s="2438"/>
      <c r="T60" s="2438"/>
      <c r="U60" s="2438"/>
      <c r="V60" s="2438"/>
      <c r="W60" s="2438"/>
      <c r="X60" s="2438"/>
      <c r="Y60" s="2438"/>
      <c r="Z60" s="2438"/>
      <c r="AA60" s="2438"/>
      <c r="AB60" s="2438"/>
      <c r="AC60" s="2438"/>
    </row>
    <row r="61" spans="1:29" s="102" customFormat="1" ht="15">
      <c r="A61" s="455" t="s">
        <v>1681</v>
      </c>
      <c r="B61" s="444"/>
      <c r="C61" s="456" t="s">
        <v>1776</v>
      </c>
      <c r="D61" s="31"/>
      <c r="E61" s="31"/>
      <c r="F61" s="31"/>
      <c r="G61" s="31"/>
      <c r="H61" s="31"/>
      <c r="I61" s="31"/>
      <c r="J61" s="31"/>
      <c r="K61" s="31"/>
      <c r="L61" s="457"/>
      <c r="M61" s="458"/>
      <c r="N61" s="2519"/>
      <c r="O61" s="2519"/>
      <c r="P61" s="2511"/>
      <c r="Q61" s="2507"/>
      <c r="R61" s="2438"/>
      <c r="S61" s="2438"/>
      <c r="T61" s="2438"/>
      <c r="U61" s="2438"/>
      <c r="V61" s="2438"/>
      <c r="W61" s="2438"/>
      <c r="X61" s="2438"/>
      <c r="Y61" s="2438"/>
      <c r="Z61" s="2438"/>
      <c r="AA61" s="2438"/>
      <c r="AB61" s="2438"/>
      <c r="AC61" s="2438"/>
    </row>
    <row r="62" spans="1:29" s="102" customFormat="1" ht="15.75" thickBot="1">
      <c r="A62" s="455"/>
      <c r="B62" s="444"/>
      <c r="C62" s="445">
        <v>100</v>
      </c>
      <c r="D62" s="446"/>
      <c r="E62" s="446"/>
      <c r="F62" s="446"/>
      <c r="G62" s="446"/>
      <c r="H62" s="446"/>
      <c r="I62" s="446"/>
      <c r="J62" s="446"/>
      <c r="K62" s="446"/>
      <c r="L62" s="446"/>
      <c r="M62" s="448"/>
      <c r="N62" s="2519"/>
      <c r="O62" s="2519"/>
      <c r="P62" s="2510"/>
      <c r="Q62" s="2507"/>
      <c r="R62" s="2438"/>
      <c r="S62" s="2438"/>
      <c r="T62" s="2438"/>
      <c r="U62" s="2438"/>
      <c r="V62" s="2438"/>
      <c r="W62" s="2438"/>
      <c r="X62" s="2438"/>
      <c r="Y62" s="2438"/>
      <c r="Z62" s="2438"/>
      <c r="AA62" s="2438"/>
      <c r="AB62" s="2438"/>
      <c r="AC62" s="2438"/>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5.7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7.7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5.7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7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ht="15">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5.7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5.7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5.7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5.7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5.7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5.7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5.7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7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5.7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7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5.7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7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5.7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7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5.7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75" thickTop="1">
      <c r="A86" s="370"/>
      <c r="B86" s="469" t="s">
        <v>1804</v>
      </c>
      <c r="C86" s="485"/>
      <c r="D86" s="485"/>
      <c r="E86" s="485"/>
      <c r="F86" s="485"/>
      <c r="G86" s="485"/>
      <c r="H86" s="485"/>
      <c r="I86" s="485"/>
      <c r="J86" s="485"/>
      <c r="K86" s="485"/>
      <c r="L86" s="510"/>
      <c r="M86" s="511"/>
      <c r="N86" s="2519"/>
      <c r="O86" s="2519"/>
      <c r="P86" s="2512"/>
      <c r="Q86" s="2507"/>
      <c r="R86" s="2438"/>
      <c r="S86" s="2438"/>
      <c r="T86" s="2438"/>
      <c r="U86" s="2438"/>
      <c r="V86" s="2438"/>
      <c r="W86" s="2438"/>
      <c r="X86" s="2438"/>
      <c r="Y86" s="2438"/>
      <c r="Z86" s="2438"/>
      <c r="AA86" s="2438"/>
      <c r="AB86" s="2438"/>
      <c r="AC86" s="2438"/>
    </row>
    <row r="87" spans="1:29" s="102" customFormat="1" ht="15.7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8"/>
      <c r="S87" s="2438"/>
      <c r="T87" s="2438"/>
      <c r="U87" s="2438"/>
      <c r="V87" s="2438"/>
      <c r="W87" s="2438"/>
      <c r="X87" s="2438"/>
      <c r="Y87" s="2438"/>
      <c r="Z87" s="2438"/>
      <c r="AA87" s="2438"/>
      <c r="AB87" s="2438"/>
      <c r="AC87" s="2438"/>
    </row>
    <row r="88" spans="1:29" s="102" customFormat="1" ht="15.75" thickTop="1">
      <c r="A88" s="370"/>
      <c r="B88" s="469" t="str">
        <f>B26</f>
        <v>平面位置/可视性</v>
      </c>
      <c r="C88" s="485"/>
      <c r="D88" s="485"/>
      <c r="E88" s="485"/>
      <c r="F88" s="1778"/>
      <c r="G88" s="485"/>
      <c r="H88" s="485"/>
      <c r="I88" s="485"/>
      <c r="J88" s="485"/>
      <c r="K88" s="485"/>
      <c r="L88" s="485"/>
      <c r="M88" s="511"/>
      <c r="N88" s="2519"/>
      <c r="O88" s="2519"/>
      <c r="P88" s="2512"/>
      <c r="Q88" s="2507"/>
      <c r="R88" s="2438"/>
      <c r="S88" s="2438"/>
      <c r="T88" s="2438"/>
      <c r="U88" s="2438"/>
      <c r="V88" s="2438"/>
      <c r="W88" s="2438"/>
      <c r="X88" s="2438"/>
      <c r="Y88" s="2438"/>
      <c r="Z88" s="2438"/>
      <c r="AA88" s="2438"/>
      <c r="AB88" s="2438"/>
      <c r="AC88" s="2438"/>
    </row>
    <row r="89" spans="1:29" s="102" customFormat="1" ht="15.75" thickBot="1">
      <c r="A89" s="370"/>
      <c r="B89" s="474"/>
      <c r="C89" s="491"/>
      <c r="D89" s="467"/>
      <c r="E89" s="467"/>
      <c r="F89" s="467"/>
      <c r="G89" s="467"/>
      <c r="H89" s="467"/>
      <c r="I89" s="467"/>
      <c r="J89" s="467"/>
      <c r="K89" s="467"/>
      <c r="L89" s="467"/>
      <c r="M89" s="467"/>
      <c r="N89" s="2521"/>
      <c r="O89" s="2521"/>
      <c r="P89" s="2512"/>
      <c r="Q89" s="2507"/>
      <c r="R89" s="2438"/>
      <c r="S89" s="2438"/>
      <c r="T89" s="2438"/>
      <c r="U89" s="2438"/>
      <c r="V89" s="2438"/>
      <c r="W89" s="2438"/>
      <c r="X89" s="2438"/>
      <c r="Y89" s="2438"/>
      <c r="Z89" s="2438"/>
      <c r="AA89" s="2438"/>
      <c r="AB89" s="2438"/>
      <c r="AC89" s="2438"/>
    </row>
    <row r="90" spans="1:29" s="408" customFormat="1" ht="15.7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5.7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5.7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5.7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5.7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5.7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5.7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5.7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5.7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5.7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5.7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7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5.7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5.7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5.7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5.7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5.7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1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5.7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5.7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5.7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cfRule type="containsText" dxfId="116" priority="17" stopIfTrue="1" operator="containsText" text="超过">
      <formula>NOT(ISERROR(SEARCH("超过",F52)))</formula>
    </cfRule>
  </conditionalFormatting>
  <conditionalFormatting sqref="G52">
    <cfRule type="expression" dxfId="115" priority="12" stopIfTrue="1">
      <formula>$H$52="超过30%"</formula>
    </cfRule>
  </conditionalFormatting>
  <conditionalFormatting sqref="G53">
    <cfRule type="expression" dxfId="114" priority="11" stopIfTrue="1">
      <formula>$H$53="超过20%"</formula>
    </cfRule>
  </conditionalFormatting>
  <conditionalFormatting sqref="G54">
    <cfRule type="expression" dxfId="113" priority="13"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conditionalFormatting sqref="J52:J54">
    <cfRule type="containsText" dxfId="107"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1810</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IF(E1="项目模式",IF(C2="——",ROUND(C50*D3/10000,0),ROUND(C50*D3/10000,0)-D2),IF(E1="单套模式",IF(C2="——",ROUND(C50*D3/10000,4),ROUND(C50*D3/10000,4)-D2)))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0</v>
      </c>
      <c r="C3" s="344" t="s">
        <v>1768</v>
      </c>
      <c r="D3" s="343">
        <f>IF(D1="",'数据-汇总表'!E3,SUMIF('数据-汇总表'!$C19:$C33,D1,'数据-汇总表'!$E19:$E33))</f>
        <v>32.74</v>
      </c>
      <c r="E3" s="1803"/>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5">
      <c r="A4" s="345" t="s">
        <v>1769</v>
      </c>
      <c r="B4" s="346"/>
      <c r="C4" s="3412" t="s">
        <v>1770</v>
      </c>
      <c r="D4" s="3413"/>
      <c r="E4" s="3414" t="s">
        <v>1771</v>
      </c>
      <c r="F4" s="3415"/>
      <c r="G4" s="3412" t="s">
        <v>1772</v>
      </c>
      <c r="H4" s="3413"/>
      <c r="I4" s="3412" t="s">
        <v>1773</v>
      </c>
      <c r="J4" s="3413"/>
      <c r="K4" s="537" t="s">
        <v>1774</v>
      </c>
      <c r="L4" s="2485"/>
      <c r="M4" s="2486"/>
      <c r="N4" s="2486"/>
      <c r="O4" s="2486"/>
      <c r="P4" s="3445" t="s">
        <v>1775</v>
      </c>
      <c r="Q4" s="3446"/>
      <c r="R4" s="3440" t="s">
        <v>1771</v>
      </c>
      <c r="S4" s="3441"/>
      <c r="T4" s="3440" t="s">
        <v>1772</v>
      </c>
      <c r="U4" s="3441"/>
      <c r="V4" s="3449" t="s">
        <v>1773</v>
      </c>
      <c r="W4" s="3449"/>
      <c r="X4" s="1807"/>
      <c r="Y4" s="3440" t="s">
        <v>1775</v>
      </c>
      <c r="Z4" s="3441"/>
      <c r="AA4" s="3439" t="s">
        <v>1771</v>
      </c>
      <c r="AB4" s="3439" t="s">
        <v>1772</v>
      </c>
      <c r="AC4" s="3442" t="s">
        <v>1773</v>
      </c>
    </row>
    <row r="5" spans="1:29" ht="15">
      <c r="A5" s="348"/>
      <c r="B5" s="349"/>
      <c r="C5" s="3408" t="s">
        <v>1673</v>
      </c>
      <c r="D5" s="3405"/>
      <c r="E5" s="3402" t="s">
        <v>1674</v>
      </c>
      <c r="F5" s="3403"/>
      <c r="G5" s="3408" t="s">
        <v>1675</v>
      </c>
      <c r="H5" s="3405"/>
      <c r="I5" s="3408" t="s">
        <v>1676</v>
      </c>
      <c r="J5" s="3405"/>
      <c r="K5" s="537"/>
      <c r="L5" s="2485"/>
      <c r="M5" s="2486"/>
      <c r="N5" s="2486"/>
      <c r="O5" s="2486"/>
      <c r="P5" s="3447"/>
      <c r="Q5" s="3419"/>
      <c r="R5" s="3400"/>
      <c r="S5" s="3401"/>
      <c r="T5" s="3400"/>
      <c r="U5" s="3401"/>
      <c r="V5" s="3424"/>
      <c r="W5" s="3424"/>
      <c r="X5" s="1265"/>
      <c r="Y5" s="3400"/>
      <c r="Z5" s="3401"/>
      <c r="AA5" s="3394"/>
      <c r="AB5" s="3394"/>
      <c r="AC5" s="3443"/>
    </row>
    <row r="6" spans="1:29" ht="15.75" thickBot="1">
      <c r="A6" s="350"/>
      <c r="B6" s="351"/>
      <c r="C6" s="3406" t="s">
        <v>1677</v>
      </c>
      <c r="D6" s="3407"/>
      <c r="E6" s="3409" t="s">
        <v>1677</v>
      </c>
      <c r="F6" s="3410"/>
      <c r="G6" s="3406" t="s">
        <v>1677</v>
      </c>
      <c r="H6" s="3407"/>
      <c r="I6" s="3406" t="s">
        <v>1677</v>
      </c>
      <c r="J6" s="3407"/>
      <c r="K6" s="537" t="s">
        <v>1678</v>
      </c>
      <c r="L6" s="2485"/>
      <c r="M6" s="2486"/>
      <c r="N6" s="2486"/>
      <c r="O6" s="2486"/>
      <c r="P6" s="3448"/>
      <c r="Q6" s="3421"/>
      <c r="R6" s="3400"/>
      <c r="S6" s="3401"/>
      <c r="T6" s="3422"/>
      <c r="U6" s="3423"/>
      <c r="V6" s="3424"/>
      <c r="W6" s="3424"/>
      <c r="X6" s="1265"/>
      <c r="Y6" s="3422"/>
      <c r="Z6" s="3423"/>
      <c r="AA6" s="3395"/>
      <c r="AB6" s="3395"/>
      <c r="AC6" s="3444"/>
    </row>
    <row r="7" spans="1:29" s="102" customFormat="1" ht="15.75" thickBot="1">
      <c r="A7" s="352" t="s">
        <v>1679</v>
      </c>
      <c r="B7" s="353"/>
      <c r="C7" s="354">
        <f>'数据-取费表'!B2</f>
        <v>46015</v>
      </c>
      <c r="D7" s="355">
        <v>100</v>
      </c>
      <c r="E7" s="356"/>
      <c r="F7" s="357">
        <f>SUMIF(59:59,YEAR(E7)&amp;"-"&amp;MONTH(E7),60:60)</f>
        <v>0</v>
      </c>
      <c r="G7" s="356"/>
      <c r="H7" s="355">
        <f>SUMIF(59:59,YEAR(G7)&amp;"-"&amp;MONTH(G7),60:60)</f>
        <v>0</v>
      </c>
      <c r="I7" s="356"/>
      <c r="J7" s="355">
        <f>SUMIF(59:59,YEAR(I7)&amp;"-"&amp;MONTH(I7),60:60)</f>
        <v>0</v>
      </c>
      <c r="K7" s="38"/>
      <c r="L7" s="2487"/>
      <c r="M7" s="2438"/>
      <c r="N7" s="2438"/>
      <c r="O7" s="2438"/>
      <c r="P7" s="3450" t="s">
        <v>1680</v>
      </c>
      <c r="Q7" s="3425"/>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802"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7"/>
      <c r="M8" s="2438"/>
      <c r="N8" s="2438"/>
      <c r="O8" s="2438"/>
      <c r="P8" s="3450" t="s">
        <v>1683</v>
      </c>
      <c r="Q8" s="3397"/>
      <c r="R8" s="664" t="s">
        <v>14</v>
      </c>
      <c r="S8" s="665">
        <f t="shared" si="0"/>
        <v>100</v>
      </c>
      <c r="T8" s="664" t="s">
        <v>14</v>
      </c>
      <c r="U8" s="665">
        <f t="shared" si="1"/>
        <v>100</v>
      </c>
      <c r="V8" s="664" t="s">
        <v>14</v>
      </c>
      <c r="W8" s="665">
        <f t="shared" si="2"/>
        <v>100</v>
      </c>
      <c r="X8" s="666"/>
      <c r="Y8" s="3396" t="s">
        <v>1683</v>
      </c>
      <c r="Z8" s="3397"/>
      <c r="AA8" s="50">
        <f t="shared" ref="AA8:AA47" si="3">D8/F8</f>
        <v>1</v>
      </c>
      <c r="AB8" s="50">
        <f t="shared" ref="AB8:AB47" si="4">D8/H8</f>
        <v>1</v>
      </c>
      <c r="AC8" s="802">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7"/>
      <c r="M9" s="2438"/>
      <c r="N9" s="2438"/>
      <c r="O9" s="2438"/>
      <c r="P9" s="3411"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802">
        <f t="shared" si="5"/>
        <v>1</v>
      </c>
    </row>
    <row r="10" spans="1:29" s="366" customFormat="1" ht="27">
      <c r="A10" s="363"/>
      <c r="B10" s="364" t="s">
        <v>1688</v>
      </c>
      <c r="C10" s="3131"/>
      <c r="D10" s="119">
        <v>100</v>
      </c>
      <c r="E10" s="3131"/>
      <c r="F10" s="119">
        <f>SUMIF(66:66,E10,67:67)-SUMIF(66:66,C10,67:67)+100</f>
        <v>100</v>
      </c>
      <c r="G10" s="3132"/>
      <c r="H10" s="119">
        <f>SUMIF(66:66,G10,67:67)-SUMIF(66:66,C10,67:67)+100</f>
        <v>100</v>
      </c>
      <c r="I10" s="3131"/>
      <c r="J10" s="119">
        <f>SUMIF(66:66,I10,67:67)-SUMIF(66:66,C10,67:67)+100</f>
        <v>100</v>
      </c>
      <c r="K10" s="38"/>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411"/>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08"/>
      <c r="H12" s="119">
        <f>SUMIF(71:71,G12,72:72)-SUMIF(71:71,C12,72:72)+100</f>
        <v>100</v>
      </c>
      <c r="I12" s="371"/>
      <c r="J12" s="119">
        <f>SUMIF(71:71,I12,72:72)-SUMIF(71:71,C12,72:72)+100</f>
        <v>100</v>
      </c>
      <c r="K12" s="539"/>
      <c r="L12" s="2487"/>
      <c r="M12" s="2438"/>
      <c r="N12" s="2438"/>
      <c r="O12" s="2438"/>
      <c r="P12" s="3411"/>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08"/>
      <c r="H13" s="374">
        <f>SUMIF(73:73,G13,74:74)-SUMIF(73:73,C13,74:74)+100</f>
        <v>100</v>
      </c>
      <c r="I13" s="371"/>
      <c r="J13" s="374">
        <f>SUMIF(73:73,I13,74:74)-SUMIF(73:73,C13,74:74)+100</f>
        <v>100</v>
      </c>
      <c r="K13" s="539"/>
      <c r="L13" s="2491"/>
      <c r="M13" s="2486"/>
      <c r="N13" s="2486"/>
      <c r="O13" s="2486"/>
      <c r="P13" s="3411"/>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802">
        <f t="shared" si="5"/>
        <v>1</v>
      </c>
    </row>
    <row r="14" spans="1:29" ht="15.75" thickBot="1">
      <c r="A14" s="375"/>
      <c r="B14" s="1749">
        <v>111</v>
      </c>
      <c r="C14" s="376"/>
      <c r="D14" s="377">
        <v>100</v>
      </c>
      <c r="E14" s="553"/>
      <c r="F14" s="377">
        <f>SUMIF(75:75,E14,76:76)-SUMIF(75:75,C14,76:76)+100</f>
        <v>100</v>
      </c>
      <c r="G14" s="1808"/>
      <c r="H14" s="377">
        <f>SUMIF(75:75,G14,76:76)-SUMIF(75:75,C14,76:76)+100</f>
        <v>100</v>
      </c>
      <c r="I14" s="371"/>
      <c r="J14" s="377">
        <f>SUMIF(75:75,I14,76:76)-SUMIF(75:75,C14,76:76)+100</f>
        <v>100</v>
      </c>
      <c r="K14" s="539"/>
      <c r="L14" s="2491"/>
      <c r="M14" s="2486"/>
      <c r="N14" s="2486"/>
      <c r="O14" s="2486"/>
      <c r="P14" s="3411"/>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802">
        <f t="shared" si="5"/>
        <v>1</v>
      </c>
    </row>
    <row r="15" spans="1:29" ht="71.25">
      <c r="A15" s="379" t="s">
        <v>1690</v>
      </c>
      <c r="B15" s="554" t="s">
        <v>1811</v>
      </c>
      <c r="C15" s="1809"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c r="L15" s="2491"/>
      <c r="M15" s="2486"/>
      <c r="N15" s="2486"/>
      <c r="O15" s="2486"/>
      <c r="P15" s="3437" t="s">
        <v>1691</v>
      </c>
      <c r="Q15" s="1263" t="str">
        <f t="shared" si="6"/>
        <v>办公集聚程度</v>
      </c>
      <c r="R15" s="667" t="s">
        <v>14</v>
      </c>
      <c r="S15" s="668">
        <f t="shared" si="0"/>
        <v>100</v>
      </c>
      <c r="T15" s="667" t="s">
        <v>14</v>
      </c>
      <c r="U15" s="668">
        <f t="shared" si="1"/>
        <v>100</v>
      </c>
      <c r="V15" s="667" t="s">
        <v>14</v>
      </c>
      <c r="W15" s="668">
        <f t="shared" si="2"/>
        <v>100</v>
      </c>
      <c r="X15" s="1265"/>
      <c r="Y15" s="3430" t="s">
        <v>1691</v>
      </c>
      <c r="Z15" s="1264" t="str">
        <f t="shared" si="7"/>
        <v>办公集聚程度</v>
      </c>
      <c r="AA15" s="1264">
        <f t="shared" si="3"/>
        <v>1</v>
      </c>
      <c r="AB15" s="1264">
        <f t="shared" si="4"/>
        <v>1</v>
      </c>
      <c r="AC15" s="1810">
        <f t="shared" si="5"/>
        <v>1</v>
      </c>
    </row>
    <row r="16" spans="1:29" ht="15">
      <c r="A16" s="367"/>
      <c r="B16" s="555"/>
      <c r="C16" s="1758"/>
      <c r="D16" s="387"/>
      <c r="E16" s="386"/>
      <c r="F16" s="387"/>
      <c r="G16" s="1758"/>
      <c r="H16" s="389"/>
      <c r="I16" s="386"/>
      <c r="J16" s="387"/>
      <c r="K16" s="541"/>
      <c r="L16" s="2491"/>
      <c r="M16" s="2486"/>
      <c r="N16" s="2486"/>
      <c r="O16" s="2486"/>
      <c r="P16" s="3438"/>
      <c r="Q16" s="1263"/>
      <c r="R16" s="667"/>
      <c r="S16" s="668"/>
      <c r="T16" s="667"/>
      <c r="U16" s="668"/>
      <c r="V16" s="667"/>
      <c r="W16" s="668"/>
      <c r="X16" s="1265"/>
      <c r="Y16" s="3431"/>
      <c r="Z16" s="1264"/>
      <c r="AA16" s="1264">
        <v>1</v>
      </c>
      <c r="AB16" s="1264">
        <v>1</v>
      </c>
      <c r="AC16" s="1810">
        <v>1</v>
      </c>
    </row>
    <row r="17" spans="1:29" ht="71.25">
      <c r="A17" s="367"/>
      <c r="B17" s="556" t="s">
        <v>1259</v>
      </c>
      <c r="C17" s="1811"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c r="L17" s="2491"/>
      <c r="M17" s="2486"/>
      <c r="N17" s="2486"/>
      <c r="O17" s="2486"/>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810">
        <f t="shared" si="5"/>
        <v>1</v>
      </c>
    </row>
    <row r="18" spans="1:29" ht="15">
      <c r="A18" s="367"/>
      <c r="B18" s="401"/>
      <c r="C18" s="1812"/>
      <c r="D18" s="389"/>
      <c r="E18" s="1756"/>
      <c r="F18" s="389"/>
      <c r="G18" s="1757"/>
      <c r="H18" s="387"/>
      <c r="I18" s="1757"/>
      <c r="J18" s="387"/>
      <c r="K18" s="541"/>
      <c r="L18" s="2491"/>
      <c r="M18" s="2486"/>
      <c r="N18" s="2486"/>
      <c r="O18" s="2486"/>
      <c r="P18" s="3438"/>
      <c r="Q18" s="1263"/>
      <c r="R18" s="667"/>
      <c r="S18" s="668"/>
      <c r="T18" s="667"/>
      <c r="U18" s="668"/>
      <c r="V18" s="667"/>
      <c r="W18" s="668"/>
      <c r="X18" s="1265"/>
      <c r="Y18" s="3431"/>
      <c r="Z18" s="1264"/>
      <c r="AA18" s="1264">
        <v>1</v>
      </c>
      <c r="AB18" s="1264">
        <v>1</v>
      </c>
      <c r="AC18" s="1810">
        <v>1</v>
      </c>
    </row>
    <row r="19" spans="1:29" ht="42.75">
      <c r="A19" s="367"/>
      <c r="B19" s="556" t="s">
        <v>1812</v>
      </c>
      <c r="C19" s="1811"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c r="L19" s="2491"/>
      <c r="M19" s="2486"/>
      <c r="N19" s="2486"/>
      <c r="O19" s="2486"/>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810">
        <f t="shared" si="5"/>
        <v>1</v>
      </c>
    </row>
    <row r="20" spans="1:29" ht="15">
      <c r="A20" s="367"/>
      <c r="B20" s="401"/>
      <c r="C20" s="1758"/>
      <c r="D20" s="387"/>
      <c r="E20" s="1751"/>
      <c r="F20" s="387"/>
      <c r="G20" s="1752"/>
      <c r="H20" s="387"/>
      <c r="I20" s="1752"/>
      <c r="J20" s="387"/>
      <c r="K20" s="541"/>
      <c r="L20" s="2491"/>
      <c r="M20" s="2486"/>
      <c r="N20" s="2486"/>
      <c r="O20" s="2486"/>
      <c r="P20" s="3438"/>
      <c r="Q20" s="1263"/>
      <c r="R20" s="667"/>
      <c r="S20" s="668"/>
      <c r="T20" s="667"/>
      <c r="U20" s="668"/>
      <c r="V20" s="667"/>
      <c r="W20" s="668"/>
      <c r="X20" s="1265"/>
      <c r="Y20" s="3431"/>
      <c r="Z20" s="1264"/>
      <c r="AA20" s="1264">
        <v>1</v>
      </c>
      <c r="AB20" s="1264">
        <v>1</v>
      </c>
      <c r="AC20" s="1810">
        <v>1</v>
      </c>
    </row>
    <row r="21" spans="1:29" ht="28.5">
      <c r="A21" s="367"/>
      <c r="B21" s="557" t="s">
        <v>1813</v>
      </c>
      <c r="C21" s="1811"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c r="L21" s="2491"/>
      <c r="M21" s="2486"/>
      <c r="N21" s="2486"/>
      <c r="O21" s="2486"/>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810">
        <f t="shared" ref="AC21" si="10">D21/J21</f>
        <v>1</v>
      </c>
    </row>
    <row r="22" spans="1:29" ht="15">
      <c r="A22" s="367"/>
      <c r="B22" s="557"/>
      <c r="C22" s="1812"/>
      <c r="D22" s="387"/>
      <c r="E22" s="386"/>
      <c r="F22" s="387"/>
      <c r="G22" s="1758"/>
      <c r="H22" s="387"/>
      <c r="I22" s="1758"/>
      <c r="J22" s="387"/>
      <c r="K22" s="1064"/>
      <c r="L22" s="2491"/>
      <c r="M22" s="2486"/>
      <c r="N22" s="2486"/>
      <c r="O22" s="2486"/>
      <c r="P22" s="3438"/>
      <c r="Q22" s="1263"/>
      <c r="R22" s="667"/>
      <c r="S22" s="668"/>
      <c r="T22" s="667"/>
      <c r="U22" s="668"/>
      <c r="V22" s="667"/>
      <c r="W22" s="668"/>
      <c r="X22" s="1265"/>
      <c r="Y22" s="3431"/>
      <c r="Z22" s="1264"/>
      <c r="AA22" s="1264">
        <v>1</v>
      </c>
      <c r="AB22" s="1264">
        <v>1</v>
      </c>
      <c r="AC22" s="1810">
        <v>1</v>
      </c>
    </row>
    <row r="23" spans="1:29" ht="42.75">
      <c r="A23" s="367"/>
      <c r="B23" s="556" t="s">
        <v>1814</v>
      </c>
      <c r="C23" s="1811"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c r="L23" s="2491"/>
      <c r="M23" s="2486"/>
      <c r="N23" s="2486"/>
      <c r="O23" s="2486"/>
      <c r="P23" s="3438"/>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810">
        <f t="shared" si="5"/>
        <v>1</v>
      </c>
    </row>
    <row r="24" spans="1:29" ht="15">
      <c r="A24" s="367"/>
      <c r="B24" s="557"/>
      <c r="C24" s="1758"/>
      <c r="D24" s="387"/>
      <c r="E24" s="1751"/>
      <c r="F24" s="387"/>
      <c r="G24" s="1752"/>
      <c r="H24" s="387"/>
      <c r="I24" s="1752"/>
      <c r="J24" s="387"/>
      <c r="K24" s="541"/>
      <c r="L24" s="2491"/>
      <c r="M24" s="2486"/>
      <c r="N24" s="2486"/>
      <c r="O24" s="2486"/>
      <c r="P24" s="3438"/>
      <c r="Q24" s="1263"/>
      <c r="R24" s="667"/>
      <c r="S24" s="668"/>
      <c r="T24" s="667"/>
      <c r="U24" s="668"/>
      <c r="V24" s="667"/>
      <c r="W24" s="668"/>
      <c r="X24" s="1265"/>
      <c r="Y24" s="3431"/>
      <c r="Z24" s="1264"/>
      <c r="AA24" s="1264">
        <v>1</v>
      </c>
      <c r="AB24" s="1264">
        <v>1</v>
      </c>
      <c r="AC24" s="1810">
        <v>1</v>
      </c>
    </row>
    <row r="25" spans="1:29" ht="27">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438"/>
      <c r="Q25" s="1263" t="str">
        <f>B25</f>
        <v>毗邻道路的类型与等级</v>
      </c>
      <c r="R25" s="667" t="s">
        <v>14</v>
      </c>
      <c r="S25" s="668">
        <f>F25</f>
        <v>100</v>
      </c>
      <c r="T25" s="667" t="s">
        <v>14</v>
      </c>
      <c r="U25" s="668">
        <f>H25</f>
        <v>100</v>
      </c>
      <c r="V25" s="667" t="s">
        <v>14</v>
      </c>
      <c r="W25" s="668">
        <f>J25</f>
        <v>100</v>
      </c>
      <c r="X25" s="1265"/>
      <c r="Y25" s="3431"/>
      <c r="Z25" s="1264" t="str">
        <f>Q25</f>
        <v>毗邻道路的类型与等级</v>
      </c>
      <c r="AA25" s="1264">
        <f t="shared" si="3"/>
        <v>1</v>
      </c>
      <c r="AB25" s="1264">
        <f t="shared" si="4"/>
        <v>1</v>
      </c>
      <c r="AC25" s="1810">
        <f t="shared" si="5"/>
        <v>1</v>
      </c>
    </row>
    <row r="26" spans="1:29" ht="15">
      <c r="A26" s="348"/>
      <c r="B26" s="401"/>
      <c r="C26" s="558"/>
      <c r="D26" s="374"/>
      <c r="E26" s="542"/>
      <c r="F26" s="374"/>
      <c r="G26" s="558"/>
      <c r="H26" s="374"/>
      <c r="I26" s="542"/>
      <c r="J26" s="374"/>
      <c r="K26" s="541"/>
      <c r="L26" s="2491"/>
      <c r="M26" s="2486"/>
      <c r="N26" s="2486"/>
      <c r="O26" s="2486"/>
      <c r="P26" s="3438"/>
      <c r="Q26" s="1263"/>
      <c r="R26" s="667"/>
      <c r="S26" s="668"/>
      <c r="T26" s="667"/>
      <c r="U26" s="668"/>
      <c r="V26" s="667"/>
      <c r="W26" s="668"/>
      <c r="X26" s="1265"/>
      <c r="Y26" s="3431"/>
      <c r="Z26" s="1264"/>
      <c r="AA26" s="1264">
        <v>1</v>
      </c>
      <c r="AB26" s="1264">
        <v>1</v>
      </c>
      <c r="AC26" s="1810">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438"/>
      <c r="Q27" s="1263" t="str">
        <f t="shared" ref="Q27:Q47" si="11">B27</f>
        <v>楼层</v>
      </c>
      <c r="R27" s="667" t="s">
        <v>14</v>
      </c>
      <c r="S27" s="668">
        <f>F27</f>
        <v>100</v>
      </c>
      <c r="T27" s="667" t="s">
        <v>14</v>
      </c>
      <c r="U27" s="668">
        <f>H27</f>
        <v>100</v>
      </c>
      <c r="V27" s="667" t="s">
        <v>14</v>
      </c>
      <c r="W27" s="668">
        <f>J27</f>
        <v>100</v>
      </c>
      <c r="X27" s="1265"/>
      <c r="Y27" s="3431"/>
      <c r="Z27" s="1264" t="str">
        <f>Q27</f>
        <v>楼层</v>
      </c>
      <c r="AA27" s="1264">
        <f t="shared" si="3"/>
        <v>1</v>
      </c>
      <c r="AB27" s="1264">
        <f t="shared" si="4"/>
        <v>1</v>
      </c>
      <c r="AC27" s="1810">
        <f t="shared" si="5"/>
        <v>1</v>
      </c>
    </row>
    <row r="28" spans="1:29" s="102" customFormat="1" ht="15">
      <c r="A28" s="370"/>
      <c r="B28" s="556" t="s">
        <v>1816</v>
      </c>
      <c r="C28" s="1813"/>
      <c r="D28" s="401">
        <v>100</v>
      </c>
      <c r="E28" s="1805"/>
      <c r="F28" s="401">
        <f>SUMIF(91:91,E28,92:92)-SUMIF(91:91,C28,92:92)+100</f>
        <v>100</v>
      </c>
      <c r="G28" s="1813"/>
      <c r="H28" s="401">
        <f>SUMIF(91:91,G28,92:92)-SUMIF(91:91,C28,92:92)+100</f>
        <v>100</v>
      </c>
      <c r="I28" s="1805"/>
      <c r="J28" s="401">
        <f>SUMIF(91:91,I28,92:92)-SUMIF(91:91,C28,92:92)+100</f>
        <v>100</v>
      </c>
      <c r="K28" s="538"/>
      <c r="L28" s="2487"/>
      <c r="M28" s="2438"/>
      <c r="N28" s="2438"/>
      <c r="O28" s="2438"/>
      <c r="P28" s="3438"/>
      <c r="Q28" s="530" t="str">
        <f t="shared" si="11"/>
        <v>朝向</v>
      </c>
      <c r="R28" s="664" t="s">
        <v>14</v>
      </c>
      <c r="S28" s="665">
        <f>F28</f>
        <v>100</v>
      </c>
      <c r="T28" s="664" t="s">
        <v>14</v>
      </c>
      <c r="U28" s="665">
        <f>H28</f>
        <v>100</v>
      </c>
      <c r="V28" s="664" t="s">
        <v>14</v>
      </c>
      <c r="W28" s="665">
        <f>J28</f>
        <v>100</v>
      </c>
      <c r="X28" s="666"/>
      <c r="Y28" s="3431"/>
      <c r="Z28" s="50" t="str">
        <f>Q28</f>
        <v>朝向</v>
      </c>
      <c r="AA28" s="1264">
        <f>D28/F28</f>
        <v>1</v>
      </c>
      <c r="AB28" s="1264">
        <f>D28/H28</f>
        <v>1</v>
      </c>
      <c r="AC28" s="1810">
        <f>D28/J28</f>
        <v>1</v>
      </c>
    </row>
    <row r="29" spans="1:29" ht="15">
      <c r="A29" s="367"/>
      <c r="B29" s="1099">
        <v>111</v>
      </c>
      <c r="C29" s="1762"/>
      <c r="D29" s="374">
        <v>100</v>
      </c>
      <c r="E29" s="371"/>
      <c r="F29" s="374">
        <f>SUMIF(93:93,E29,94:94)-SUMIF(93:93,C29,94:94)+100</f>
        <v>100</v>
      </c>
      <c r="G29" s="1808"/>
      <c r="H29" s="374">
        <f>SUMIF(93:93,G29,94:94)-SUMIF(93:93,C29,94:94)+100</f>
        <v>100</v>
      </c>
      <c r="I29" s="371"/>
      <c r="J29" s="374">
        <f>SUMIF(93:93,I29,94:94)-SUMIF(93:93,C29,94:94)+100</f>
        <v>100</v>
      </c>
      <c r="K29" s="539"/>
      <c r="L29" s="2491"/>
      <c r="M29" s="2486"/>
      <c r="N29" s="2486"/>
      <c r="O29" s="2486"/>
      <c r="P29" s="3438"/>
      <c r="Q29" s="1263">
        <f t="shared" si="11"/>
        <v>111</v>
      </c>
      <c r="R29" s="667" t="s">
        <v>14</v>
      </c>
      <c r="S29" s="668">
        <f t="shared" ref="S29:S47" si="12">F29</f>
        <v>100</v>
      </c>
      <c r="T29" s="667" t="s">
        <v>14</v>
      </c>
      <c r="U29" s="668">
        <f t="shared" ref="U29:U47" si="13">H29</f>
        <v>100</v>
      </c>
      <c r="V29" s="667" t="s">
        <v>14</v>
      </c>
      <c r="W29" s="668">
        <f t="shared" ref="W29:W47" si="14">J29</f>
        <v>100</v>
      </c>
      <c r="X29" s="1265"/>
      <c r="Y29" s="3431"/>
      <c r="Z29" s="1264">
        <f t="shared" ref="Z29:Z47" si="15">Q29</f>
        <v>111</v>
      </c>
      <c r="AA29" s="1264">
        <f t="shared" si="3"/>
        <v>1</v>
      </c>
      <c r="AB29" s="1264">
        <f t="shared" si="4"/>
        <v>1</v>
      </c>
      <c r="AC29" s="1810">
        <f t="shared" si="5"/>
        <v>1</v>
      </c>
    </row>
    <row r="30" spans="1:29" ht="15">
      <c r="A30" s="367"/>
      <c r="B30" s="1099">
        <v>111</v>
      </c>
      <c r="C30" s="1762"/>
      <c r="D30" s="374">
        <v>100</v>
      </c>
      <c r="E30" s="371"/>
      <c r="F30" s="374">
        <f>SUMIF(95:95,E30,96:96)-SUMIF(95:95,C30,96:96)+100</f>
        <v>100</v>
      </c>
      <c r="G30" s="1808"/>
      <c r="H30" s="374">
        <f>SUMIF(95:95,G30,96:96)-SUMIF(95:95,C30,96:96)+100</f>
        <v>100</v>
      </c>
      <c r="I30" s="371"/>
      <c r="J30" s="374">
        <f>SUMIF(95:95,I30,96:96)-SUMIF(95:95,C30,96:96)+100</f>
        <v>100</v>
      </c>
      <c r="K30" s="539"/>
      <c r="L30" s="2491"/>
      <c r="M30" s="2486"/>
      <c r="N30" s="2486"/>
      <c r="O30" s="2486"/>
      <c r="P30" s="3438"/>
      <c r="Q30" s="1263">
        <f t="shared" si="11"/>
        <v>111</v>
      </c>
      <c r="R30" s="667" t="s">
        <v>14</v>
      </c>
      <c r="S30" s="668">
        <f t="shared" si="12"/>
        <v>100</v>
      </c>
      <c r="T30" s="667" t="s">
        <v>14</v>
      </c>
      <c r="U30" s="668">
        <f t="shared" si="13"/>
        <v>100</v>
      </c>
      <c r="V30" s="667" t="s">
        <v>14</v>
      </c>
      <c r="W30" s="668">
        <f t="shared" si="14"/>
        <v>100</v>
      </c>
      <c r="X30" s="1265"/>
      <c r="Y30" s="3431"/>
      <c r="Z30" s="1264">
        <f t="shared" si="15"/>
        <v>111</v>
      </c>
      <c r="AA30" s="1264">
        <f t="shared" si="3"/>
        <v>1</v>
      </c>
      <c r="AB30" s="1264">
        <f t="shared" si="4"/>
        <v>1</v>
      </c>
      <c r="AC30" s="1810">
        <f t="shared" si="5"/>
        <v>1</v>
      </c>
    </row>
    <row r="31" spans="1:29" ht="15">
      <c r="A31" s="367"/>
      <c r="B31" s="1099">
        <v>111</v>
      </c>
      <c r="C31" s="1762"/>
      <c r="D31" s="374">
        <v>100</v>
      </c>
      <c r="E31" s="371"/>
      <c r="F31" s="374">
        <f>SUMIF(97:97,E31,98:98)-SUMIF(97:97,C31,98:98)+100</f>
        <v>100</v>
      </c>
      <c r="G31" s="1808"/>
      <c r="H31" s="374">
        <f>SUMIF(97:97,G31,98:98)-SUMIF(97:97,C31,98:98)+100</f>
        <v>100</v>
      </c>
      <c r="I31" s="371"/>
      <c r="J31" s="374">
        <f>SUMIF(97:97,I31,98:98)-SUMIF(97:97,C31,98:98)+100</f>
        <v>100</v>
      </c>
      <c r="K31" s="539"/>
      <c r="L31" s="2491"/>
      <c r="M31" s="2486"/>
      <c r="N31" s="2486"/>
      <c r="O31" s="2486"/>
      <c r="P31" s="3438"/>
      <c r="Q31" s="1263">
        <f t="shared" si="11"/>
        <v>111</v>
      </c>
      <c r="R31" s="667" t="s">
        <v>14</v>
      </c>
      <c r="S31" s="668">
        <f t="shared" si="12"/>
        <v>100</v>
      </c>
      <c r="T31" s="667" t="s">
        <v>14</v>
      </c>
      <c r="U31" s="668">
        <f t="shared" si="13"/>
        <v>100</v>
      </c>
      <c r="V31" s="667" t="s">
        <v>14</v>
      </c>
      <c r="W31" s="668">
        <f t="shared" si="14"/>
        <v>100</v>
      </c>
      <c r="X31" s="1265"/>
      <c r="Y31" s="3431"/>
      <c r="Z31" s="1264">
        <f t="shared" si="15"/>
        <v>111</v>
      </c>
      <c r="AA31" s="1264">
        <f t="shared" si="3"/>
        <v>1</v>
      </c>
      <c r="AB31" s="1264">
        <f t="shared" si="4"/>
        <v>1</v>
      </c>
      <c r="AC31" s="1810">
        <f t="shared" si="5"/>
        <v>1</v>
      </c>
    </row>
    <row r="32" spans="1:29" ht="15.75" thickBot="1">
      <c r="A32" s="375"/>
      <c r="B32" s="559">
        <v>111</v>
      </c>
      <c r="C32" s="1763"/>
      <c r="D32" s="377">
        <v>100</v>
      </c>
      <c r="E32" s="553"/>
      <c r="F32" s="377">
        <f>SUMIF(99:99,E32,100:100)-SUMIF(99:99,C32,100:100)+100</f>
        <v>100</v>
      </c>
      <c r="G32" s="1808"/>
      <c r="H32" s="377">
        <f>SUMIF(99:99,G32,100:100)-SUMIF(99:99,C32,100:100)+100</f>
        <v>100</v>
      </c>
      <c r="I32" s="371"/>
      <c r="J32" s="377">
        <f>SUMIF(99:99,I32,100:100)-SUMIF(99:99,C32,100:100)+100</f>
        <v>100</v>
      </c>
      <c r="K32" s="539"/>
      <c r="L32" s="2491"/>
      <c r="M32" s="2486"/>
      <c r="N32" s="2486"/>
      <c r="O32" s="2486"/>
      <c r="P32" s="3438"/>
      <c r="Q32" s="1263">
        <f t="shared" si="11"/>
        <v>111</v>
      </c>
      <c r="R32" s="667" t="s">
        <v>14</v>
      </c>
      <c r="S32" s="668">
        <f t="shared" si="12"/>
        <v>100</v>
      </c>
      <c r="T32" s="667" t="s">
        <v>14</v>
      </c>
      <c r="U32" s="668">
        <f t="shared" si="13"/>
        <v>100</v>
      </c>
      <c r="V32" s="667" t="s">
        <v>14</v>
      </c>
      <c r="W32" s="668">
        <f t="shared" si="14"/>
        <v>100</v>
      </c>
      <c r="X32" s="1265"/>
      <c r="Y32" s="3431"/>
      <c r="Z32" s="1264">
        <f t="shared" si="15"/>
        <v>111</v>
      </c>
      <c r="AA32" s="1264">
        <f t="shared" si="3"/>
        <v>1</v>
      </c>
      <c r="AB32" s="1264">
        <f t="shared" si="4"/>
        <v>1</v>
      </c>
      <c r="AC32" s="1810">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c r="L33" s="2491"/>
      <c r="M33" s="2486"/>
      <c r="N33" s="2486"/>
      <c r="O33" s="2486"/>
      <c r="P33" s="3432" t="s">
        <v>1696</v>
      </c>
      <c r="Q33" s="1263" t="str">
        <f t="shared" si="11"/>
        <v>建筑类型</v>
      </c>
      <c r="R33" s="667" t="s">
        <v>14</v>
      </c>
      <c r="S33" s="668">
        <f t="shared" si="12"/>
        <v>100</v>
      </c>
      <c r="T33" s="667" t="s">
        <v>14</v>
      </c>
      <c r="U33" s="668">
        <f t="shared" si="13"/>
        <v>100</v>
      </c>
      <c r="V33" s="667" t="s">
        <v>14</v>
      </c>
      <c r="W33" s="668">
        <f t="shared" si="14"/>
        <v>100</v>
      </c>
      <c r="X33" s="1265"/>
      <c r="Y33" s="3435" t="s">
        <v>1696</v>
      </c>
      <c r="Z33" s="1264" t="str">
        <f t="shared" si="15"/>
        <v>建筑类型</v>
      </c>
      <c r="AA33" s="1264">
        <f t="shared" si="3"/>
        <v>1</v>
      </c>
      <c r="AB33" s="1264">
        <f t="shared" si="4"/>
        <v>1</v>
      </c>
      <c r="AC33" s="1810">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9"/>
      <c r="L34" s="2490"/>
      <c r="M34" s="2492"/>
      <c r="N34" s="2492"/>
      <c r="O34" s="2492"/>
      <c r="P34" s="3433"/>
      <c r="Q34" s="531" t="str">
        <f t="shared" si="11"/>
        <v>项目建筑规模</v>
      </c>
      <c r="R34" s="669" t="s">
        <v>14</v>
      </c>
      <c r="S34" s="670" t="e">
        <f t="shared" si="12"/>
        <v>#N/A</v>
      </c>
      <c r="T34" s="669" t="s">
        <v>14</v>
      </c>
      <c r="U34" s="670" t="e">
        <f t="shared" si="13"/>
        <v>#N/A</v>
      </c>
      <c r="V34" s="669" t="s">
        <v>14</v>
      </c>
      <c r="W34" s="670" t="e">
        <f t="shared" si="14"/>
        <v>#N/A</v>
      </c>
      <c r="X34" s="671"/>
      <c r="Y34" s="3435"/>
      <c r="Z34" s="672" t="str">
        <f t="shared" si="15"/>
        <v>项目建筑规模</v>
      </c>
      <c r="AA34" s="1264" t="e">
        <f t="shared" si="3"/>
        <v>#N/A</v>
      </c>
      <c r="AB34" s="1264" t="e">
        <f t="shared" si="4"/>
        <v>#N/A</v>
      </c>
      <c r="AC34" s="1810"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8"/>
      <c r="L35" s="2491"/>
      <c r="M35" s="2486"/>
      <c r="N35" s="2486"/>
      <c r="O35" s="2486"/>
      <c r="P35" s="3433"/>
      <c r="Q35" s="1263" t="str">
        <f t="shared" si="11"/>
        <v>建筑结构</v>
      </c>
      <c r="R35" s="667" t="s">
        <v>14</v>
      </c>
      <c r="S35" s="668">
        <f t="shared" si="12"/>
        <v>100</v>
      </c>
      <c r="T35" s="667" t="s">
        <v>14</v>
      </c>
      <c r="U35" s="668">
        <f t="shared" si="13"/>
        <v>100</v>
      </c>
      <c r="V35" s="667" t="s">
        <v>14</v>
      </c>
      <c r="W35" s="668">
        <f t="shared" si="14"/>
        <v>100</v>
      </c>
      <c r="X35" s="1265"/>
      <c r="Y35" s="3435"/>
      <c r="Z35" s="1264" t="str">
        <f t="shared" si="15"/>
        <v>建筑结构</v>
      </c>
      <c r="AA35" s="1264">
        <f t="shared" si="3"/>
        <v>1</v>
      </c>
      <c r="AB35" s="1264">
        <f t="shared" si="4"/>
        <v>1</v>
      </c>
      <c r="AC35" s="1810">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33"/>
      <c r="Q36" s="1263" t="str">
        <f t="shared" si="11"/>
        <v>公共部分装修</v>
      </c>
      <c r="R36" s="667" t="s">
        <v>14</v>
      </c>
      <c r="S36" s="668">
        <f t="shared" si="12"/>
        <v>100</v>
      </c>
      <c r="T36" s="667" t="s">
        <v>14</v>
      </c>
      <c r="U36" s="668">
        <f t="shared" si="13"/>
        <v>100</v>
      </c>
      <c r="V36" s="667" t="s">
        <v>14</v>
      </c>
      <c r="W36" s="668">
        <f t="shared" si="14"/>
        <v>100</v>
      </c>
      <c r="X36" s="1265"/>
      <c r="Y36" s="3435"/>
      <c r="Z36" s="1264" t="str">
        <f t="shared" si="15"/>
        <v>公共部分装修</v>
      </c>
      <c r="AA36" s="1264">
        <f t="shared" si="3"/>
        <v>1</v>
      </c>
      <c r="AB36" s="1264">
        <f t="shared" si="4"/>
        <v>1</v>
      </c>
      <c r="AC36" s="1810">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8"/>
      <c r="L37" s="2491"/>
      <c r="M37" s="2486"/>
      <c r="N37" s="2486"/>
      <c r="O37" s="2486"/>
      <c r="P37" s="3433"/>
      <c r="Q37" s="1263" t="str">
        <f t="shared" si="11"/>
        <v>成新度</v>
      </c>
      <c r="R37" s="667" t="s">
        <v>14</v>
      </c>
      <c r="S37" s="668" t="e">
        <f t="shared" si="12"/>
        <v>#N/A</v>
      </c>
      <c r="T37" s="667" t="s">
        <v>14</v>
      </c>
      <c r="U37" s="668" t="e">
        <f t="shared" si="13"/>
        <v>#N/A</v>
      </c>
      <c r="V37" s="667" t="s">
        <v>14</v>
      </c>
      <c r="W37" s="668" t="e">
        <f t="shared" si="14"/>
        <v>#N/A</v>
      </c>
      <c r="X37" s="1265"/>
      <c r="Y37" s="3435"/>
      <c r="Z37" s="1264" t="str">
        <f t="shared" si="15"/>
        <v>成新度</v>
      </c>
      <c r="AA37" s="1264" t="e">
        <f t="shared" si="3"/>
        <v>#N/A</v>
      </c>
      <c r="AB37" s="1264" t="e">
        <f t="shared" si="4"/>
        <v>#N/A</v>
      </c>
      <c r="AC37" s="1810"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8"/>
      <c r="N38" s="2438"/>
      <c r="O38" s="2438"/>
      <c r="P38" s="3433"/>
      <c r="Q38" s="530" t="str">
        <f t="shared" si="11"/>
        <v>写字楼等级</v>
      </c>
      <c r="R38" s="664" t="s">
        <v>14</v>
      </c>
      <c r="S38" s="665">
        <f t="shared" si="12"/>
        <v>100</v>
      </c>
      <c r="T38" s="664" t="s">
        <v>14</v>
      </c>
      <c r="U38" s="665">
        <f t="shared" si="13"/>
        <v>100</v>
      </c>
      <c r="V38" s="664" t="s">
        <v>14</v>
      </c>
      <c r="W38" s="665">
        <f t="shared" si="14"/>
        <v>100</v>
      </c>
      <c r="X38" s="666"/>
      <c r="Y38" s="3435"/>
      <c r="Z38" s="50" t="str">
        <f t="shared" si="15"/>
        <v>写字楼等级</v>
      </c>
      <c r="AA38" s="50">
        <f t="shared" si="3"/>
        <v>1</v>
      </c>
      <c r="AB38" s="50">
        <f t="shared" si="4"/>
        <v>1</v>
      </c>
      <c r="AC38" s="802">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8"/>
      <c r="L39" s="2491"/>
      <c r="M39" s="2486"/>
      <c r="N39" s="2486"/>
      <c r="O39" s="2486"/>
      <c r="P39" s="3433" t="s">
        <v>1696</v>
      </c>
      <c r="Q39" s="1263" t="str">
        <f t="shared" si="11"/>
        <v>物业管理</v>
      </c>
      <c r="R39" s="667" t="s">
        <v>14</v>
      </c>
      <c r="S39" s="668">
        <f t="shared" si="12"/>
        <v>100</v>
      </c>
      <c r="T39" s="667" t="s">
        <v>14</v>
      </c>
      <c r="U39" s="668">
        <f t="shared" si="13"/>
        <v>100</v>
      </c>
      <c r="V39" s="667" t="s">
        <v>14</v>
      </c>
      <c r="W39" s="668">
        <f t="shared" si="14"/>
        <v>100</v>
      </c>
      <c r="X39" s="1265"/>
      <c r="Y39" s="3435" t="s">
        <v>1696</v>
      </c>
      <c r="Z39" s="1264" t="str">
        <f t="shared" si="15"/>
        <v>物业管理</v>
      </c>
      <c r="AA39" s="1264">
        <f t="shared" si="3"/>
        <v>1</v>
      </c>
      <c r="AB39" s="1264">
        <f t="shared" si="4"/>
        <v>1</v>
      </c>
      <c r="AC39" s="1810">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c r="L40" s="2491"/>
      <c r="M40" s="2486"/>
      <c r="N40" s="2486"/>
      <c r="O40" s="2486"/>
      <c r="P40" s="3433"/>
      <c r="Q40" s="1263" t="str">
        <f t="shared" si="11"/>
        <v>市政基础设施</v>
      </c>
      <c r="R40" s="667" t="s">
        <v>14</v>
      </c>
      <c r="S40" s="668">
        <f t="shared" si="12"/>
        <v>100</v>
      </c>
      <c r="T40" s="667" t="s">
        <v>14</v>
      </c>
      <c r="U40" s="668">
        <f t="shared" si="13"/>
        <v>100</v>
      </c>
      <c r="V40" s="667" t="s">
        <v>14</v>
      </c>
      <c r="W40" s="668">
        <f t="shared" si="14"/>
        <v>100</v>
      </c>
      <c r="X40" s="1265"/>
      <c r="Y40" s="3435"/>
      <c r="Z40" s="1264" t="str">
        <f t="shared" si="15"/>
        <v>市政基础设施</v>
      </c>
      <c r="AA40" s="1264">
        <f t="shared" si="3"/>
        <v>1</v>
      </c>
      <c r="AB40" s="1264">
        <f t="shared" si="4"/>
        <v>1</v>
      </c>
      <c r="AC40" s="1810">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c r="L41" s="2491"/>
      <c r="M41" s="2486"/>
      <c r="N41" s="2486"/>
      <c r="O41" s="2486"/>
      <c r="P41" s="3433"/>
      <c r="Q41" s="1263" t="str">
        <f t="shared" si="11"/>
        <v>层高</v>
      </c>
      <c r="R41" s="667" t="s">
        <v>14</v>
      </c>
      <c r="S41" s="668">
        <f t="shared" si="12"/>
        <v>100</v>
      </c>
      <c r="T41" s="667" t="s">
        <v>14</v>
      </c>
      <c r="U41" s="668">
        <f t="shared" si="13"/>
        <v>100</v>
      </c>
      <c r="V41" s="667" t="s">
        <v>14</v>
      </c>
      <c r="W41" s="668">
        <f t="shared" si="14"/>
        <v>100</v>
      </c>
      <c r="X41" s="1265"/>
      <c r="Y41" s="3435"/>
      <c r="Z41" s="1264" t="str">
        <f t="shared" si="15"/>
        <v>层高</v>
      </c>
      <c r="AA41" s="1264">
        <f t="shared" si="3"/>
        <v>1</v>
      </c>
      <c r="AB41" s="1264">
        <f t="shared" si="4"/>
        <v>1</v>
      </c>
      <c r="AC41" s="1810">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33"/>
      <c r="Q42" s="531" t="str">
        <f t="shared" si="11"/>
        <v>单套建筑面积</v>
      </c>
      <c r="R42" s="669" t="s">
        <v>14</v>
      </c>
      <c r="S42" s="670">
        <f t="shared" si="12"/>
        <v>100</v>
      </c>
      <c r="T42" s="669" t="s">
        <v>14</v>
      </c>
      <c r="U42" s="670">
        <f t="shared" si="13"/>
        <v>100</v>
      </c>
      <c r="V42" s="669" t="s">
        <v>14</v>
      </c>
      <c r="W42" s="670">
        <f t="shared" si="14"/>
        <v>100</v>
      </c>
      <c r="X42" s="671"/>
      <c r="Y42" s="3435"/>
      <c r="Z42" s="672" t="str">
        <f t="shared" si="15"/>
        <v>单套建筑面积</v>
      </c>
      <c r="AA42" s="1264">
        <f t="shared" si="3"/>
        <v>1</v>
      </c>
      <c r="AB42" s="1264">
        <f t="shared" si="4"/>
        <v>1</v>
      </c>
      <c r="AC42" s="1810">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8"/>
      <c r="L43" s="2491"/>
      <c r="M43" s="2486"/>
      <c r="N43" s="2486"/>
      <c r="O43" s="2486"/>
      <c r="P43" s="3433"/>
      <c r="Q43" s="1263" t="str">
        <f t="shared" si="11"/>
        <v>内部装修</v>
      </c>
      <c r="R43" s="667" t="s">
        <v>14</v>
      </c>
      <c r="S43" s="668">
        <f t="shared" si="12"/>
        <v>100</v>
      </c>
      <c r="T43" s="667" t="s">
        <v>14</v>
      </c>
      <c r="U43" s="668">
        <f t="shared" si="13"/>
        <v>100</v>
      </c>
      <c r="V43" s="667" t="s">
        <v>14</v>
      </c>
      <c r="W43" s="668">
        <f t="shared" si="14"/>
        <v>100</v>
      </c>
      <c r="X43" s="1265"/>
      <c r="Y43" s="3435"/>
      <c r="Z43" s="1264" t="str">
        <f t="shared" si="15"/>
        <v>内部装修</v>
      </c>
      <c r="AA43" s="1264">
        <f t="shared" si="3"/>
        <v>1</v>
      </c>
      <c r="AB43" s="1264">
        <f t="shared" si="4"/>
        <v>1</v>
      </c>
      <c r="AC43" s="1810">
        <f t="shared" si="5"/>
        <v>1</v>
      </c>
    </row>
    <row r="44" spans="1:29" ht="15">
      <c r="A44" s="409"/>
      <c r="B44" s="364" t="s">
        <v>1707</v>
      </c>
      <c r="C44" s="399"/>
      <c r="D44" s="374">
        <v>100</v>
      </c>
      <c r="E44" s="1760"/>
      <c r="F44" s="400">
        <f>SUMIF(125:125,E44,126:126)-SUMIF(125:125,C44,126:126)+100</f>
        <v>100</v>
      </c>
      <c r="G44" s="1760"/>
      <c r="H44" s="374">
        <f>SUMIF(125:125,G44,126:126)-SUMIF(125:125,C44,126:126)+100</f>
        <v>100</v>
      </c>
      <c r="I44" s="1760"/>
      <c r="J44" s="374">
        <f>SUMIF(125:125,I44,126:126)-SUMIF(125:125,C44,126:126)+100</f>
        <v>100</v>
      </c>
      <c r="K44" s="538"/>
      <c r="L44" s="2491"/>
      <c r="M44" s="2486"/>
      <c r="N44" s="2486"/>
      <c r="O44" s="2486"/>
      <c r="P44" s="3433"/>
      <c r="Q44" s="1263" t="str">
        <f t="shared" si="11"/>
        <v>内部装修维护情况</v>
      </c>
      <c r="R44" s="667" t="s">
        <v>14</v>
      </c>
      <c r="S44" s="668">
        <f t="shared" si="12"/>
        <v>100</v>
      </c>
      <c r="T44" s="667" t="s">
        <v>14</v>
      </c>
      <c r="U44" s="668">
        <f t="shared" si="13"/>
        <v>100</v>
      </c>
      <c r="V44" s="667" t="s">
        <v>14</v>
      </c>
      <c r="W44" s="668">
        <f t="shared" si="14"/>
        <v>100</v>
      </c>
      <c r="X44" s="1265"/>
      <c r="Y44" s="3435"/>
      <c r="Z44" s="1264" t="str">
        <f t="shared" si="15"/>
        <v>内部装修维护情况</v>
      </c>
      <c r="AA44" s="1264">
        <f t="shared" si="3"/>
        <v>1</v>
      </c>
      <c r="AB44" s="1264">
        <f t="shared" si="4"/>
        <v>1</v>
      </c>
      <c r="AC44" s="1810">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8"/>
      <c r="N45" s="2438"/>
      <c r="O45" s="2438"/>
      <c r="P45" s="3433"/>
      <c r="Q45" s="530">
        <f t="shared" si="11"/>
        <v>111</v>
      </c>
      <c r="R45" s="664" t="s">
        <v>14</v>
      </c>
      <c r="S45" s="665">
        <f t="shared" si="12"/>
        <v>100</v>
      </c>
      <c r="T45" s="664" t="s">
        <v>14</v>
      </c>
      <c r="U45" s="665">
        <f t="shared" si="13"/>
        <v>100</v>
      </c>
      <c r="V45" s="664" t="s">
        <v>14</v>
      </c>
      <c r="W45" s="665">
        <f t="shared" si="14"/>
        <v>100</v>
      </c>
      <c r="X45" s="666"/>
      <c r="Y45" s="3435"/>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33"/>
      <c r="Q46" s="1263">
        <f t="shared" si="11"/>
        <v>111</v>
      </c>
      <c r="R46" s="667" t="s">
        <v>14</v>
      </c>
      <c r="S46" s="668">
        <f t="shared" si="12"/>
        <v>100</v>
      </c>
      <c r="T46" s="667" t="s">
        <v>14</v>
      </c>
      <c r="U46" s="668">
        <f t="shared" si="13"/>
        <v>100</v>
      </c>
      <c r="V46" s="667" t="s">
        <v>14</v>
      </c>
      <c r="W46" s="668">
        <f t="shared" si="14"/>
        <v>100</v>
      </c>
      <c r="X46" s="1265"/>
      <c r="Y46" s="3435"/>
      <c r="Z46" s="1264">
        <f t="shared" si="15"/>
        <v>111</v>
      </c>
      <c r="AA46" s="1264">
        <f t="shared" si="3"/>
        <v>1</v>
      </c>
      <c r="AB46" s="1264">
        <f t="shared" si="4"/>
        <v>1</v>
      </c>
      <c r="AC46" s="1810">
        <f t="shared" si="5"/>
        <v>1</v>
      </c>
    </row>
    <row r="47" spans="1:29" ht="15.75"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34"/>
      <c r="Q47" s="1263">
        <f t="shared" si="11"/>
        <v>111</v>
      </c>
      <c r="R47" s="667" t="s">
        <v>14</v>
      </c>
      <c r="S47" s="668">
        <f t="shared" si="12"/>
        <v>100</v>
      </c>
      <c r="T47" s="667" t="s">
        <v>14</v>
      </c>
      <c r="U47" s="668">
        <f t="shared" si="13"/>
        <v>100</v>
      </c>
      <c r="V47" s="667" t="s">
        <v>14</v>
      </c>
      <c r="W47" s="668">
        <f t="shared" si="14"/>
        <v>100</v>
      </c>
      <c r="X47" s="1265"/>
      <c r="Y47" s="3436"/>
      <c r="Z47" s="1264">
        <f t="shared" si="15"/>
        <v>111</v>
      </c>
      <c r="AA47" s="1264">
        <f t="shared" si="3"/>
        <v>1</v>
      </c>
      <c r="AB47" s="1264">
        <f t="shared" si="4"/>
        <v>1</v>
      </c>
      <c r="AC47" s="1810">
        <f t="shared" si="5"/>
        <v>1</v>
      </c>
    </row>
    <row r="48" spans="1:29" ht="15">
      <c r="A48" s="416" t="s">
        <v>1708</v>
      </c>
      <c r="B48" s="417"/>
      <c r="C48" s="1081" t="s">
        <v>0</v>
      </c>
      <c r="D48" s="418"/>
      <c r="E48" s="419"/>
      <c r="F48" s="420"/>
      <c r="G48" s="421"/>
      <c r="H48" s="422"/>
      <c r="I48" s="419"/>
      <c r="J48" s="422"/>
      <c r="K48" s="674"/>
      <c r="L48" s="2493"/>
      <c r="M48" s="2486"/>
      <c r="N48" s="2486"/>
      <c r="O48" s="2486"/>
      <c r="P48" s="3411" t="str">
        <f>A48</f>
        <v>成交单价（元/平方米）</v>
      </c>
      <c r="Q48" s="3429"/>
      <c r="R48" s="3424">
        <f>E48</f>
        <v>0</v>
      </c>
      <c r="S48" s="3424"/>
      <c r="T48" s="3424">
        <f>G48</f>
        <v>0</v>
      </c>
      <c r="U48" s="3424"/>
      <c r="V48" s="3424">
        <f>I48</f>
        <v>0</v>
      </c>
      <c r="W48" s="3424"/>
      <c r="X48" s="385"/>
      <c r="Y48" s="673"/>
      <c r="Z48" s="385"/>
      <c r="AA48" s="385"/>
      <c r="AB48" s="385"/>
      <c r="AC48" s="555"/>
    </row>
    <row r="49" spans="1:29" ht="15.75" thickBot="1">
      <c r="A49" s="423" t="s">
        <v>1793</v>
      </c>
      <c r="B49" s="424"/>
      <c r="C49" s="1082" t="e">
        <f>R50</f>
        <v>#DIV/0!</v>
      </c>
      <c r="D49" s="2139" t="s">
        <v>2138</v>
      </c>
      <c r="E49" s="1083" t="e">
        <f>R49</f>
        <v>#DIV/0!</v>
      </c>
      <c r="F49" s="2140"/>
      <c r="G49" s="1082" t="e">
        <f>T49</f>
        <v>#DIV/0!</v>
      </c>
      <c r="H49" s="2140"/>
      <c r="I49" s="1083" t="e">
        <f>V49</f>
        <v>#DIV/0!</v>
      </c>
      <c r="J49" s="2140"/>
      <c r="K49" s="2142">
        <f>F49+H49+J49</f>
        <v>0</v>
      </c>
      <c r="L49" s="2493"/>
      <c r="M49" s="2486"/>
      <c r="N49" s="2486"/>
      <c r="O49" s="2486"/>
      <c r="P49" s="3411" t="str">
        <f>A49</f>
        <v>比较价值（元/平方米）</v>
      </c>
      <c r="Q49" s="3429"/>
      <c r="R49" s="3424" t="e">
        <f>IF(F1="售价",ROUND(PRODUCT(R48,AA7:AA47),0),ROUND(PRODUCT(R48,AA7:AA47),1))</f>
        <v>#DIV/0!</v>
      </c>
      <c r="S49" s="3424"/>
      <c r="T49" s="3424" t="e">
        <f>IF(F1="售价",ROUND(PRODUCT(T48,AB7:AB47),0),ROUND(PRODUCT(T48,AB7:AB47),1))</f>
        <v>#DIV/0!</v>
      </c>
      <c r="U49" s="3424"/>
      <c r="V49" s="3424" t="e">
        <f>IF(F1="售价",ROUND(PRODUCT(V48,AC7:AC47),0),ROUND(PRODUCT(V48,AC7:AC47),1))</f>
        <v>#DIV/0!</v>
      </c>
      <c r="W49" s="3424"/>
      <c r="X49" s="385"/>
      <c r="Y49" s="385"/>
      <c r="Z49" s="385"/>
      <c r="AA49" s="385"/>
      <c r="AB49" s="385"/>
      <c r="AC49" s="555"/>
    </row>
    <row r="50" spans="1:29" ht="15.75" thickBot="1">
      <c r="A50" s="427" t="s">
        <v>1794</v>
      </c>
      <c r="B50" s="428"/>
      <c r="C50" s="351" t="e">
        <f>R50</f>
        <v>#DIV/0!</v>
      </c>
      <c r="D50" s="351"/>
      <c r="E50" s="351"/>
      <c r="F50" s="351"/>
      <c r="G50" s="351"/>
      <c r="H50" s="351"/>
      <c r="I50" s="351"/>
      <c r="J50" s="429"/>
      <c r="K50" s="675"/>
      <c r="L50" s="2493"/>
      <c r="M50" s="2486"/>
      <c r="N50" s="2486"/>
      <c r="O50" s="2486"/>
      <c r="P50" s="3451" t="str">
        <f>A50</f>
        <v>估价对象XX用房的比较价值（楼面单价，元/平方米）</v>
      </c>
      <c r="Q50" s="3452"/>
      <c r="R50" s="3453" t="e">
        <f>IF(F1="售价",ROUND(IF(D49="简单平均",AVERAGE(R49:V49),R49*F49+T49*H49+V49*J49),0),ROUND(IF(D49="简单平均",AVERAGE(R49:V49),R49*F49+T49*H49+V49*J49),1))</f>
        <v>#DIV/0!</v>
      </c>
      <c r="S50" s="3453"/>
      <c r="T50" s="3453"/>
      <c r="U50" s="3453"/>
      <c r="V50" s="3453"/>
      <c r="W50" s="3453"/>
      <c r="X50" s="1796"/>
      <c r="Y50" s="1796"/>
      <c r="Z50" s="1796"/>
      <c r="AA50" s="1796"/>
      <c r="AB50" s="1796"/>
      <c r="AC50" s="1797"/>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t="e">
        <f>IF(E48&lt;E49,E49/E48-1,E48/E49-1)</f>
        <v>#DIV/0!</v>
      </c>
      <c r="F53" s="435" t="e">
        <f>IF(OR(E53&gt;=0.3,E53&lt;=-0.3),"超过30%","")</f>
        <v>#DIV/0!</v>
      </c>
      <c r="G53" s="434" t="e">
        <f>IF(G48&lt;G49,G49/G48-1,G48/G49-1)</f>
        <v>#DIV/0!</v>
      </c>
      <c r="H53" s="435" t="e">
        <f>IF(OR(G53&gt;=0.3,G53&lt;=-0.3),"超过30%","")</f>
        <v>#DIV/0!</v>
      </c>
      <c r="I53" s="434" t="e">
        <f>IF(I48&lt;I49,I49/I48-1,I48/I49-1)</f>
        <v>#DIV/0!</v>
      </c>
      <c r="J53" s="435" t="e">
        <f>IF(OR(I53&gt;=0.3,I53&lt;=-0.3),"超过30%","")</f>
        <v>#DIV/0!</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t="e">
        <f>IF(E49&lt;G49,G49/E49-1,E49/G49-1)</f>
        <v>#DIV/0!</v>
      </c>
      <c r="F54" s="435" t="e">
        <f>IF(OR(E54&gt;=0.2,E54&lt;=-0.2),"超过20%","")</f>
        <v>#DIV/0!</v>
      </c>
      <c r="G54" s="434" t="e">
        <f>IF(G49&lt;I49,I49/G49-1,G49/I49-1)</f>
        <v>#DIV/0!</v>
      </c>
      <c r="H54" s="435" t="e">
        <f>IF(OR(G54&gt;=0.2,G54&lt;=-0.2),"超过20%","")</f>
        <v>#DIV/0!</v>
      </c>
      <c r="I54" s="434" t="e">
        <f>IF(I49&lt;E49,E49/I49-1,I49/E49-1)</f>
        <v>#DIV/0!</v>
      </c>
      <c r="J54" s="435" t="e">
        <f>IF(OR(I54&gt;=0.2,I54&lt;=-0.2),"超过20%","")</f>
        <v>#DIV/0!</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t="e">
        <f>IF(E48&lt;G48,G48/E48-1,E48/G48-1)</f>
        <v>#DIV/0!</v>
      </c>
      <c r="F55" s="435" t="e">
        <f>IF(OR(E55&gt;=0.3,E55&lt;=-0.3),"超过30%","")</f>
        <v>#DIV/0!</v>
      </c>
      <c r="G55" s="434" t="e">
        <f>IF(G48&lt;I48,I48/G48-1,G48/I48-1)</f>
        <v>#DIV/0!</v>
      </c>
      <c r="H55" s="435" t="e">
        <f>IF(OR(G55&gt;=0.3,G55&lt;=-0.3),"超过30%","")</f>
        <v>#DIV/0!</v>
      </c>
      <c r="I55" s="434" t="e">
        <f>IF(I48&lt;E48,E48/I48-1,I48/E48-1)</f>
        <v>#DIV/0!</v>
      </c>
      <c r="J55" s="435" t="e">
        <f>IF(OR(I55&gt;=0.3,I55&lt;=-0.3),"超过30%","")</f>
        <v>#DIV/0!</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7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5">
      <c r="A59" s="440" t="s">
        <v>1679</v>
      </c>
      <c r="B59" s="441"/>
      <c r="C59" s="1103" t="str">
        <f>YEAR(C7)&amp;"-"&amp;MONTH(C7)</f>
        <v>2025-12</v>
      </c>
      <c r="D59" s="1104">
        <f>EDATE(C59,-1)</f>
        <v>45962</v>
      </c>
      <c r="E59" s="1104">
        <f>EDATE(D59,-1)</f>
        <v>45931</v>
      </c>
      <c r="F59" s="1104">
        <f t="shared" ref="F59:O59" si="16">EDATE(E59,-1)</f>
        <v>45901</v>
      </c>
      <c r="G59" s="1104">
        <f t="shared" si="16"/>
        <v>45870</v>
      </c>
      <c r="H59" s="1104">
        <f t="shared" si="16"/>
        <v>45839</v>
      </c>
      <c r="I59" s="1104">
        <f t="shared" si="16"/>
        <v>45809</v>
      </c>
      <c r="J59" s="1104">
        <f t="shared" si="16"/>
        <v>45778</v>
      </c>
      <c r="K59" s="1104">
        <f t="shared" si="16"/>
        <v>45748</v>
      </c>
      <c r="L59" s="1104">
        <f t="shared" si="16"/>
        <v>45717</v>
      </c>
      <c r="M59" s="1104">
        <f t="shared" si="16"/>
        <v>45689</v>
      </c>
      <c r="N59" s="1104">
        <f t="shared" si="16"/>
        <v>45658</v>
      </c>
      <c r="O59" s="1104">
        <f t="shared" si="16"/>
        <v>45627</v>
      </c>
      <c r="P59" s="2526"/>
      <c r="Q59" s="2509"/>
      <c r="R59" s="2509"/>
      <c r="S59" s="2509"/>
      <c r="T59" s="2509"/>
      <c r="U59" s="2509"/>
      <c r="V59" s="2509"/>
      <c r="W59" s="2509"/>
      <c r="X59" s="2509"/>
      <c r="Y59" s="2509"/>
      <c r="Z59" s="2509"/>
      <c r="AA59" s="2509"/>
      <c r="AB59" s="2509"/>
      <c r="AC59" s="2509"/>
    </row>
    <row r="60" spans="1:29" s="102" customFormat="1" ht="15">
      <c r="A60" s="443"/>
      <c r="B60" s="444"/>
      <c r="C60" s="1102">
        <v>100</v>
      </c>
      <c r="D60" s="446"/>
      <c r="E60" s="446"/>
      <c r="F60" s="446"/>
      <c r="G60" s="446"/>
      <c r="H60" s="446"/>
      <c r="I60" s="446"/>
      <c r="J60" s="446"/>
      <c r="K60" s="446"/>
      <c r="L60" s="446"/>
      <c r="M60" s="447"/>
      <c r="N60" s="446"/>
      <c r="O60" s="447"/>
      <c r="P60" s="2527"/>
      <c r="Q60" s="2438"/>
      <c r="R60" s="2438"/>
      <c r="S60" s="2438"/>
      <c r="T60" s="2438"/>
      <c r="U60" s="2438"/>
      <c r="V60" s="2438"/>
      <c r="W60" s="2438"/>
      <c r="X60" s="2438"/>
      <c r="Y60" s="2438"/>
      <c r="Z60" s="2438"/>
      <c r="AA60" s="2438"/>
      <c r="AB60" s="2438"/>
      <c r="AC60" s="2438"/>
    </row>
    <row r="61" spans="1:29" s="102" customFormat="1" ht="15.75" thickBot="1">
      <c r="A61" s="449" t="s">
        <v>1716</v>
      </c>
      <c r="B61" s="450"/>
      <c r="C61" s="451"/>
      <c r="D61" s="452"/>
      <c r="E61" s="452"/>
      <c r="F61" s="452"/>
      <c r="G61" s="452"/>
      <c r="H61" s="452"/>
      <c r="I61" s="452"/>
      <c r="J61" s="452"/>
      <c r="K61" s="452"/>
      <c r="L61" s="452"/>
      <c r="M61" s="453"/>
      <c r="N61" s="452"/>
      <c r="O61" s="453"/>
      <c r="P61" s="2527"/>
      <c r="Q61" s="2507"/>
      <c r="R61" s="2438"/>
      <c r="S61" s="2438"/>
      <c r="T61" s="2438"/>
      <c r="U61" s="2438"/>
      <c r="V61" s="2438"/>
      <c r="W61" s="2438"/>
      <c r="X61" s="2438"/>
      <c r="Y61" s="2438"/>
      <c r="Z61" s="2438"/>
      <c r="AA61" s="2438"/>
      <c r="AB61" s="2438"/>
      <c r="AC61" s="2438"/>
    </row>
    <row r="62" spans="1:29" s="102" customFormat="1" ht="15">
      <c r="A62" s="455" t="s">
        <v>1681</v>
      </c>
      <c r="B62" s="444"/>
      <c r="C62" s="456" t="s">
        <v>1776</v>
      </c>
      <c r="D62" s="31"/>
      <c r="E62" s="31"/>
      <c r="F62" s="31"/>
      <c r="G62" s="31"/>
      <c r="H62" s="31"/>
      <c r="I62" s="31"/>
      <c r="J62" s="31"/>
      <c r="K62" s="31"/>
      <c r="L62" s="457"/>
      <c r="M62" s="458"/>
      <c r="N62" s="2519"/>
      <c r="O62" s="2519"/>
      <c r="P62" s="2528"/>
      <c r="Q62" s="2507"/>
      <c r="R62" s="2438"/>
      <c r="S62" s="2438"/>
      <c r="T62" s="2438"/>
      <c r="U62" s="2438"/>
      <c r="V62" s="2438"/>
      <c r="W62" s="2438"/>
      <c r="X62" s="2438"/>
      <c r="Y62" s="2438"/>
      <c r="Z62" s="2438"/>
      <c r="AA62" s="2438"/>
      <c r="AB62" s="2438"/>
      <c r="AC62" s="2438"/>
    </row>
    <row r="63" spans="1:29" s="102" customFormat="1" ht="15.75" thickBot="1">
      <c r="A63" s="455"/>
      <c r="B63" s="444"/>
      <c r="C63" s="445">
        <v>100</v>
      </c>
      <c r="D63" s="446"/>
      <c r="E63" s="446"/>
      <c r="F63" s="446"/>
      <c r="G63" s="446"/>
      <c r="H63" s="446"/>
      <c r="I63" s="446"/>
      <c r="J63" s="446"/>
      <c r="K63" s="446"/>
      <c r="L63" s="446"/>
      <c r="M63" s="448"/>
      <c r="N63" s="2519"/>
      <c r="O63" s="2519"/>
      <c r="P63" s="2527"/>
      <c r="Q63" s="2507"/>
      <c r="R63" s="2438"/>
      <c r="S63" s="2438"/>
      <c r="T63" s="2438"/>
      <c r="U63" s="2438"/>
      <c r="V63" s="2438"/>
      <c r="W63" s="2438"/>
      <c r="X63" s="2438"/>
      <c r="Y63" s="2438"/>
      <c r="Z63" s="2438"/>
      <c r="AA63" s="2438"/>
      <c r="AB63" s="2438"/>
      <c r="AC63" s="2438"/>
    </row>
    <row r="64" spans="1:29">
      <c r="A64" s="379" t="s">
        <v>1719</v>
      </c>
      <c r="B64" s="460" t="s">
        <v>1685</v>
      </c>
      <c r="C64" s="461">
        <f>C9</f>
        <v>0</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5.7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7.75" thickTop="1">
      <c r="A66" s="367"/>
      <c r="B66" s="469" t="s">
        <v>1688</v>
      </c>
      <c r="C66" s="513"/>
      <c r="D66" s="513"/>
      <c r="E66" s="513"/>
      <c r="F66" s="513"/>
      <c r="G66" s="513"/>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5.75" thickBot="1">
      <c r="A67" s="367"/>
      <c r="B67" s="474"/>
      <c r="C67" s="467"/>
      <c r="D67" s="467"/>
      <c r="E67" s="467"/>
      <c r="F67" s="467"/>
      <c r="G67" s="467"/>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75" thickTop="1">
      <c r="A68" s="367"/>
      <c r="B68" s="477" t="s">
        <v>1689</v>
      </c>
      <c r="C68" s="478" t="str">
        <f>C69&amp;"（含）"&amp;"-"&amp;D69</f>
        <v>0（含）-3</v>
      </c>
      <c r="D68" s="478" t="str">
        <f t="shared" ref="D68:L68" si="17">D69&amp;"（含）"&amp;"-"&amp;E69</f>
        <v>3（含）-</v>
      </c>
      <c r="E68" s="478" t="str">
        <f t="shared" si="17"/>
        <v>（含）-</v>
      </c>
      <c r="F68" s="478" t="str">
        <f t="shared" si="17"/>
        <v>（含）-</v>
      </c>
      <c r="G68" s="478" t="str">
        <f t="shared" si="17"/>
        <v>（含）-</v>
      </c>
      <c r="H68" s="478" t="str">
        <f t="shared" si="17"/>
        <v>（含）-</v>
      </c>
      <c r="I68" s="478" t="str">
        <f t="shared" si="17"/>
        <v>（含）-</v>
      </c>
      <c r="J68" s="478" t="str">
        <f t="shared" si="17"/>
        <v>（含）-</v>
      </c>
      <c r="K68" s="478" t="str">
        <f t="shared" si="17"/>
        <v>（含）-</v>
      </c>
      <c r="L68" s="478" t="str">
        <f t="shared" si="17"/>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ht="15">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21"/>
      <c r="O70" s="2521"/>
      <c r="P70" s="2529"/>
      <c r="Q70" s="2507"/>
      <c r="R70" s="2486"/>
      <c r="S70" s="2486"/>
      <c r="T70" s="2486"/>
      <c r="U70" s="2486"/>
      <c r="V70" s="2486"/>
      <c r="W70" s="2486"/>
      <c r="X70" s="2486"/>
      <c r="Y70" s="2486"/>
      <c r="Z70" s="2486"/>
      <c r="AA70" s="2486"/>
      <c r="AB70" s="2486"/>
      <c r="AC70" s="2486"/>
    </row>
    <row r="71" spans="1:29" s="408" customFormat="1" ht="15.7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5.7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5.7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5.7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5.7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5.7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5.75" thickBot="1">
      <c r="A78" s="367"/>
      <c r="B78" s="474"/>
      <c r="C78" s="475">
        <v>100</v>
      </c>
      <c r="D78" s="475">
        <f>C78-$K15</f>
        <v>100</v>
      </c>
      <c r="E78" s="475">
        <f>D78-$K15</f>
        <v>100</v>
      </c>
      <c r="F78" s="475">
        <f>E78-$K15</f>
        <v>100</v>
      </c>
      <c r="G78" s="475">
        <f>F78-$K15</f>
        <v>100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7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C80-$K17</f>
        <v>100</v>
      </c>
      <c r="E80" s="475">
        <f>D80-$K17</f>
        <v>100</v>
      </c>
      <c r="F80" s="475">
        <f>E80-$K17</f>
        <v>100</v>
      </c>
      <c r="G80" s="475">
        <f>F80-$K17</f>
        <v>100</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7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5.75" thickBot="1">
      <c r="A82" s="367"/>
      <c r="B82" s="474"/>
      <c r="C82" s="475">
        <v>100</v>
      </c>
      <c r="D82" s="475">
        <f>C82-$K19</f>
        <v>100</v>
      </c>
      <c r="E82" s="475">
        <f>D82-$K19</f>
        <v>100</v>
      </c>
      <c r="F82" s="475">
        <f>E82-$K19</f>
        <v>100</v>
      </c>
      <c r="G82" s="475">
        <f>F82-$K19</f>
        <v>100</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7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5.75" thickBot="1">
      <c r="A84" s="367"/>
      <c r="B84" s="477"/>
      <c r="C84" s="475">
        <v>100</v>
      </c>
      <c r="D84" s="475">
        <f>C84-$K21</f>
        <v>100</v>
      </c>
      <c r="E84" s="475">
        <f>D84-$K21</f>
        <v>100</v>
      </c>
      <c r="F84" s="475">
        <f>E84-$K21</f>
        <v>100</v>
      </c>
      <c r="G84" s="475">
        <f>F84-$K21</f>
        <v>100</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7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5.75" thickBot="1">
      <c r="A86" s="367"/>
      <c r="B86" s="474"/>
      <c r="C86" s="475">
        <v>100</v>
      </c>
      <c r="D86" s="475">
        <f>C86-$K23</f>
        <v>100</v>
      </c>
      <c r="E86" s="475">
        <f>D86-$K23</f>
        <v>100</v>
      </c>
      <c r="F86" s="475">
        <f>E86-$K23</f>
        <v>100</v>
      </c>
      <c r="G86" s="475">
        <f>F86-$K23</f>
        <v>100</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7.75" thickTop="1">
      <c r="A87" s="370"/>
      <c r="B87" s="469" t="s">
        <v>1823</v>
      </c>
      <c r="C87" s="485"/>
      <c r="D87" s="485"/>
      <c r="E87" s="485"/>
      <c r="F87" s="485"/>
      <c r="G87" s="485"/>
      <c r="H87" s="485"/>
      <c r="I87" s="485"/>
      <c r="J87" s="485"/>
      <c r="K87" s="485"/>
      <c r="L87" s="510"/>
      <c r="M87" s="511"/>
      <c r="N87" s="2519"/>
      <c r="O87" s="2519"/>
      <c r="P87" s="2529"/>
      <c r="Q87" s="2507"/>
      <c r="R87" s="2438"/>
      <c r="S87" s="2438"/>
      <c r="T87" s="2438"/>
      <c r="U87" s="2438"/>
      <c r="V87" s="2438"/>
      <c r="W87" s="2438"/>
      <c r="X87" s="2438"/>
      <c r="Y87" s="2438"/>
      <c r="Z87" s="2438"/>
      <c r="AA87" s="2438"/>
      <c r="AB87" s="2438"/>
      <c r="AC87" s="2438"/>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21"/>
      <c r="O88" s="2521"/>
      <c r="P88" s="2529"/>
      <c r="Q88" s="2507"/>
      <c r="R88" s="2438"/>
      <c r="S88" s="2438"/>
      <c r="T88" s="2438"/>
      <c r="U88" s="2438"/>
      <c r="V88" s="2438"/>
      <c r="W88" s="2438"/>
      <c r="X88" s="2438"/>
      <c r="Y88" s="2438"/>
      <c r="Z88" s="2438"/>
      <c r="AA88" s="2438"/>
      <c r="AB88" s="2438"/>
      <c r="AC88" s="2438"/>
    </row>
    <row r="89" spans="1:29" s="102" customFormat="1" ht="15.75" thickTop="1">
      <c r="A89" s="370"/>
      <c r="B89" s="469" t="str">
        <f>B27</f>
        <v>楼层</v>
      </c>
      <c r="C89" s="485"/>
      <c r="D89" s="485"/>
      <c r="E89" s="485"/>
      <c r="F89" s="1778"/>
      <c r="G89" s="485"/>
      <c r="H89" s="485"/>
      <c r="I89" s="485"/>
      <c r="J89" s="485"/>
      <c r="K89" s="485"/>
      <c r="L89" s="485"/>
      <c r="M89" s="511"/>
      <c r="N89" s="2519"/>
      <c r="O89" s="2519"/>
      <c r="P89" s="2529"/>
      <c r="Q89" s="2507"/>
      <c r="R89" s="2438"/>
      <c r="S89" s="2438"/>
      <c r="T89" s="2438"/>
      <c r="U89" s="2438"/>
      <c r="V89" s="2438"/>
      <c r="W89" s="2438"/>
      <c r="X89" s="2438"/>
      <c r="Y89" s="2438"/>
      <c r="Z89" s="2438"/>
      <c r="AA89" s="2438"/>
      <c r="AB89" s="2438"/>
      <c r="AC89" s="2438"/>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21"/>
      <c r="O90" s="2521"/>
      <c r="P90" s="2529"/>
      <c r="Q90" s="2507"/>
      <c r="R90" s="2438"/>
      <c r="S90" s="2438"/>
      <c r="T90" s="2438"/>
      <c r="U90" s="2438"/>
      <c r="V90" s="2438"/>
      <c r="W90" s="2438"/>
      <c r="X90" s="2438"/>
      <c r="Y90" s="2438"/>
      <c r="Z90" s="2438"/>
      <c r="AA90" s="2438"/>
      <c r="AB90" s="2438"/>
      <c r="AC90" s="2438"/>
    </row>
    <row r="91" spans="1:29" s="408" customFormat="1" ht="15.7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22"/>
      <c r="O92" s="2522"/>
      <c r="P92" s="2530"/>
      <c r="Q92" s="2514"/>
      <c r="R92" s="2492"/>
      <c r="S92" s="2492"/>
      <c r="T92" s="2492"/>
      <c r="U92" s="2492"/>
      <c r="V92" s="2492"/>
      <c r="W92" s="2492"/>
      <c r="X92" s="2492"/>
      <c r="Y92" s="2492"/>
      <c r="Z92" s="2492"/>
      <c r="AA92" s="2492"/>
      <c r="AB92" s="2492"/>
      <c r="AC92" s="2492"/>
    </row>
    <row r="93" spans="1:29" ht="15.7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5.7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5.7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5.7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5.7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5.7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75">
        <v>100</v>
      </c>
      <c r="D102" s="475">
        <f t="shared" ref="D102:M102" si="22">C102-$K33</f>
        <v>100</v>
      </c>
      <c r="E102" s="475">
        <f t="shared" si="22"/>
        <v>100</v>
      </c>
      <c r="F102" s="475">
        <f t="shared" si="22"/>
        <v>100</v>
      </c>
      <c r="G102" s="475">
        <f t="shared" si="22"/>
        <v>100</v>
      </c>
      <c r="H102" s="475">
        <f t="shared" si="22"/>
        <v>100</v>
      </c>
      <c r="I102" s="475">
        <f t="shared" si="22"/>
        <v>100</v>
      </c>
      <c r="J102" s="475">
        <f t="shared" si="22"/>
        <v>100</v>
      </c>
      <c r="K102" s="475">
        <f t="shared" si="22"/>
        <v>100</v>
      </c>
      <c r="L102" s="475">
        <f t="shared" si="22"/>
        <v>100</v>
      </c>
      <c r="M102" s="476">
        <f t="shared" si="22"/>
        <v>100</v>
      </c>
      <c r="N102" s="2521"/>
      <c r="O102" s="2521"/>
      <c r="P102" s="2529"/>
      <c r="Q102" s="2507"/>
      <c r="R102" s="2486"/>
      <c r="S102" s="2486"/>
      <c r="T102" s="2486"/>
      <c r="U102" s="2486"/>
      <c r="V102" s="2486"/>
      <c r="W102" s="2486"/>
      <c r="X102" s="2486"/>
      <c r="Y102" s="2486"/>
      <c r="Z102" s="2486"/>
      <c r="AA102" s="2486"/>
      <c r="AB102" s="2486"/>
      <c r="AC102" s="2486"/>
    </row>
    <row r="103" spans="1:29" ht="15.75" thickTop="1">
      <c r="A103" s="367"/>
      <c r="B103" s="469" t="s">
        <v>1737</v>
      </c>
      <c r="C103" s="509" t="str">
        <f>C104&amp;"(含)"&amp;"-"&amp;D104</f>
        <v>(含)-</v>
      </c>
      <c r="D103" s="509" t="str">
        <f t="shared" ref="D103:L103" si="23">D104&amp;"(含)"&amp;"-"&amp;E104</f>
        <v>(含)-</v>
      </c>
      <c r="E103" s="509" t="str">
        <f t="shared" si="23"/>
        <v>(含)-</v>
      </c>
      <c r="F103" s="509" t="str">
        <f t="shared" si="23"/>
        <v>(含)-</v>
      </c>
      <c r="G103" s="509" t="str">
        <f t="shared" si="23"/>
        <v>(含)-</v>
      </c>
      <c r="H103" s="509" t="str">
        <f t="shared" si="23"/>
        <v>(含)-</v>
      </c>
      <c r="I103" s="509" t="str">
        <f t="shared" si="23"/>
        <v>(含)-</v>
      </c>
      <c r="J103" s="509" t="str">
        <f t="shared" si="23"/>
        <v>(含)-</v>
      </c>
      <c r="K103" s="509" t="str">
        <f t="shared" si="23"/>
        <v>(含)-</v>
      </c>
      <c r="L103" s="509" t="str">
        <f t="shared" si="23"/>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c r="D104" s="6"/>
      <c r="E104" s="6"/>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5.75" thickBot="1">
      <c r="A105" s="484"/>
      <c r="B105" s="474"/>
      <c r="C105" s="491"/>
      <c r="D105" s="467"/>
      <c r="E105" s="467"/>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485"/>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5.75" thickBot="1">
      <c r="A107" s="367"/>
      <c r="B107" s="474"/>
      <c r="C107" s="475">
        <v>100</v>
      </c>
      <c r="D107" s="475">
        <f t="shared" ref="D107:M107" si="24">C107-$K35</f>
        <v>100</v>
      </c>
      <c r="E107" s="475">
        <f t="shared" si="24"/>
        <v>100</v>
      </c>
      <c r="F107" s="475">
        <f t="shared" si="24"/>
        <v>100</v>
      </c>
      <c r="G107" s="475">
        <f t="shared" si="24"/>
        <v>100</v>
      </c>
      <c r="H107" s="475">
        <f t="shared" si="24"/>
        <v>100</v>
      </c>
      <c r="I107" s="475">
        <f t="shared" si="24"/>
        <v>100</v>
      </c>
      <c r="J107" s="475">
        <f t="shared" si="24"/>
        <v>100</v>
      </c>
      <c r="K107" s="475">
        <f t="shared" si="24"/>
        <v>100</v>
      </c>
      <c r="L107" s="475">
        <f t="shared" si="24"/>
        <v>100</v>
      </c>
      <c r="M107" s="476">
        <f t="shared" si="24"/>
        <v>100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5.75" thickBot="1">
      <c r="A109" s="367"/>
      <c r="B109" s="474"/>
      <c r="C109" s="475">
        <v>100</v>
      </c>
      <c r="D109" s="475">
        <f t="shared" ref="D109:M109" si="25">C109-$K36</f>
        <v>100</v>
      </c>
      <c r="E109" s="475">
        <f t="shared" si="25"/>
        <v>100</v>
      </c>
      <c r="F109" s="475">
        <f t="shared" si="25"/>
        <v>100</v>
      </c>
      <c r="G109" s="475">
        <f t="shared" si="25"/>
        <v>100</v>
      </c>
      <c r="H109" s="475">
        <f t="shared" si="25"/>
        <v>100</v>
      </c>
      <c r="I109" s="475">
        <f t="shared" si="25"/>
        <v>100</v>
      </c>
      <c r="J109" s="475">
        <f t="shared" si="25"/>
        <v>100</v>
      </c>
      <c r="K109" s="475">
        <f t="shared" si="25"/>
        <v>100</v>
      </c>
      <c r="L109" s="475">
        <f t="shared" si="25"/>
        <v>100</v>
      </c>
      <c r="M109" s="476">
        <f t="shared" si="25"/>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5.75" thickBot="1">
      <c r="A112" s="367"/>
      <c r="B112" s="474"/>
      <c r="C112" s="512">
        <v>100</v>
      </c>
      <c r="D112" s="475">
        <f>C112+$K37</f>
        <v>100</v>
      </c>
      <c r="E112" s="475">
        <f t="shared" ref="E112:M112" si="26">D112+$K37</f>
        <v>100</v>
      </c>
      <c r="F112" s="475">
        <f t="shared" si="26"/>
        <v>100</v>
      </c>
      <c r="G112" s="475">
        <f t="shared" si="26"/>
        <v>100</v>
      </c>
      <c r="H112" s="475">
        <f t="shared" si="26"/>
        <v>100</v>
      </c>
      <c r="I112" s="475">
        <f t="shared" si="26"/>
        <v>100</v>
      </c>
      <c r="J112" s="475">
        <f t="shared" si="26"/>
        <v>100</v>
      </c>
      <c r="K112" s="475">
        <f t="shared" si="26"/>
        <v>100</v>
      </c>
      <c r="L112" s="475">
        <f t="shared" si="26"/>
        <v>100</v>
      </c>
      <c r="M112" s="475">
        <f t="shared" si="26"/>
        <v>100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5.75" thickBot="1">
      <c r="A114" s="484"/>
      <c r="B114" s="474"/>
      <c r="C114" s="475">
        <v>100</v>
      </c>
      <c r="D114" s="475">
        <f>C114-$K38</f>
        <v>100</v>
      </c>
      <c r="E114" s="475">
        <f t="shared" ref="E114:M114" si="27">D114-$K38</f>
        <v>100</v>
      </c>
      <c r="F114" s="475">
        <f t="shared" si="27"/>
        <v>100</v>
      </c>
      <c r="G114" s="475">
        <f t="shared" si="27"/>
        <v>100</v>
      </c>
      <c r="H114" s="475">
        <f t="shared" si="27"/>
        <v>100</v>
      </c>
      <c r="I114" s="475">
        <f t="shared" si="27"/>
        <v>100</v>
      </c>
      <c r="J114" s="475">
        <f t="shared" si="27"/>
        <v>100</v>
      </c>
      <c r="K114" s="475">
        <f t="shared" si="27"/>
        <v>100</v>
      </c>
      <c r="L114" s="475">
        <f t="shared" si="27"/>
        <v>100</v>
      </c>
      <c r="M114" s="475">
        <f t="shared" si="27"/>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485"/>
      <c r="D115" s="485"/>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5.75" thickBot="1">
      <c r="A116" s="367"/>
      <c r="B116" s="474"/>
      <c r="C116" s="475">
        <v>100</v>
      </c>
      <c r="D116" s="475">
        <f t="shared" ref="D116:M116" si="28">C116-$K39</f>
        <v>100</v>
      </c>
      <c r="E116" s="475">
        <f t="shared" si="28"/>
        <v>100</v>
      </c>
      <c r="F116" s="475">
        <f t="shared" si="28"/>
        <v>100</v>
      </c>
      <c r="G116" s="475">
        <f t="shared" si="28"/>
        <v>100</v>
      </c>
      <c r="H116" s="475">
        <f t="shared" si="28"/>
        <v>100</v>
      </c>
      <c r="I116" s="475">
        <f t="shared" si="28"/>
        <v>100</v>
      </c>
      <c r="J116" s="475">
        <f t="shared" si="28"/>
        <v>100</v>
      </c>
      <c r="K116" s="475">
        <f t="shared" si="28"/>
        <v>100</v>
      </c>
      <c r="L116" s="475">
        <f t="shared" si="28"/>
        <v>100</v>
      </c>
      <c r="M116" s="476">
        <f t="shared" si="28"/>
        <v>100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5.75" thickBot="1">
      <c r="A118" s="367"/>
      <c r="B118" s="474"/>
      <c r="C118" s="475">
        <v>100</v>
      </c>
      <c r="D118" s="475">
        <f>C118-$K40</f>
        <v>100</v>
      </c>
      <c r="E118" s="475">
        <f>D118-$K40</f>
        <v>100</v>
      </c>
      <c r="F118" s="475">
        <f>E118-$K40</f>
        <v>100</v>
      </c>
      <c r="G118" s="475">
        <f>F118-$K40</f>
        <v>100</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513"/>
      <c r="D119" s="513"/>
      <c r="E119" s="513"/>
      <c r="F119" s="513"/>
      <c r="G119" s="513"/>
      <c r="H119" s="513"/>
      <c r="I119" s="513"/>
      <c r="J119" s="513"/>
      <c r="K119" s="513"/>
      <c r="L119" s="1814"/>
      <c r="M119" s="1815"/>
      <c r="N119" s="2521"/>
      <c r="O119" s="2521"/>
      <c r="P119" s="2534"/>
      <c r="Q119" s="2535"/>
      <c r="R119" s="2486"/>
      <c r="S119" s="2486"/>
      <c r="T119" s="2486"/>
      <c r="U119" s="2486"/>
      <c r="V119" s="2486"/>
      <c r="W119" s="2486"/>
      <c r="X119" s="2486"/>
      <c r="Y119" s="2486"/>
      <c r="Z119" s="2486"/>
      <c r="AA119" s="2486"/>
      <c r="AB119" s="2486"/>
      <c r="AC119" s="2486"/>
    </row>
    <row r="120" spans="1:29" ht="15.75" thickBot="1">
      <c r="A120" s="367"/>
      <c r="B120" s="474"/>
      <c r="C120" s="512">
        <v>100</v>
      </c>
      <c r="D120" s="475">
        <f>C120-$K41</f>
        <v>100</v>
      </c>
      <c r="E120" s="475">
        <f t="shared" ref="E120:M120" si="29">D120-$K41</f>
        <v>100</v>
      </c>
      <c r="F120" s="475">
        <f t="shared" si="29"/>
        <v>100</v>
      </c>
      <c r="G120" s="475">
        <f t="shared" si="29"/>
        <v>100</v>
      </c>
      <c r="H120" s="475">
        <f t="shared" si="29"/>
        <v>100</v>
      </c>
      <c r="I120" s="475">
        <f t="shared" si="29"/>
        <v>100</v>
      </c>
      <c r="J120" s="475">
        <f t="shared" si="29"/>
        <v>100</v>
      </c>
      <c r="K120" s="475">
        <f t="shared" si="29"/>
        <v>100</v>
      </c>
      <c r="L120" s="475">
        <f t="shared" si="29"/>
        <v>100</v>
      </c>
      <c r="M120" s="475">
        <f t="shared" si="29"/>
        <v>100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5.7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485"/>
      <c r="D123" s="485"/>
      <c r="E123" s="485"/>
      <c r="F123" s="513"/>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5.75" thickBot="1">
      <c r="A124" s="367"/>
      <c r="B124" s="474"/>
      <c r="C124" s="475">
        <v>100</v>
      </c>
      <c r="D124" s="475">
        <f t="shared" ref="D124:M124" si="30">C124-$K43</f>
        <v>100</v>
      </c>
      <c r="E124" s="475">
        <f t="shared" si="30"/>
        <v>100</v>
      </c>
      <c r="F124" s="475">
        <f t="shared" si="30"/>
        <v>100</v>
      </c>
      <c r="G124" s="475">
        <f t="shared" si="30"/>
        <v>100</v>
      </c>
      <c r="H124" s="475">
        <f t="shared" si="30"/>
        <v>100</v>
      </c>
      <c r="I124" s="475">
        <f t="shared" si="30"/>
        <v>100</v>
      </c>
      <c r="J124" s="475">
        <f t="shared" si="30"/>
        <v>100</v>
      </c>
      <c r="K124" s="475">
        <f t="shared" si="30"/>
        <v>100</v>
      </c>
      <c r="L124" s="475">
        <f t="shared" si="30"/>
        <v>100</v>
      </c>
      <c r="M124" s="476">
        <f t="shared" si="30"/>
        <v>100</v>
      </c>
      <c r="N124" s="2521"/>
      <c r="O124" s="2521"/>
      <c r="P124" s="2529"/>
      <c r="Q124" s="2507"/>
      <c r="R124" s="2486"/>
      <c r="S124" s="2486"/>
      <c r="T124" s="2486"/>
      <c r="U124" s="2486"/>
      <c r="V124" s="2486"/>
      <c r="W124" s="2486"/>
      <c r="X124" s="2486"/>
      <c r="Y124" s="2486"/>
      <c r="Z124" s="2486"/>
      <c r="AA124" s="2486"/>
      <c r="AB124" s="2486"/>
      <c r="AC124" s="2486"/>
    </row>
    <row r="125" spans="1:29" ht="1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5.75" thickBot="1">
      <c r="A126" s="367"/>
      <c r="B126" s="474"/>
      <c r="C126" s="475">
        <v>100</v>
      </c>
      <c r="D126" s="475">
        <f>C126-$K44</f>
        <v>100</v>
      </c>
      <c r="E126" s="475">
        <f>D126-$K44</f>
        <v>100</v>
      </c>
      <c r="F126" s="475">
        <f>E126-$K44</f>
        <v>100</v>
      </c>
      <c r="G126" s="475">
        <f>F126-$K44</f>
        <v>100</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5.7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5.7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5.7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06" priority="16" stopIfTrue="1">
      <formula>$F$53="超过30%"</formula>
    </cfRule>
  </conditionalFormatting>
  <conditionalFormatting sqref="E54">
    <cfRule type="expression" dxfId="105" priority="15" stopIfTrue="1">
      <formula>$F$54="超过20%"</formula>
    </cfRule>
  </conditionalFormatting>
  <conditionalFormatting sqref="E55">
    <cfRule type="expression" dxfId="104" priority="14" stopIfTrue="1">
      <formula>$F$55="超过30%"</formula>
    </cfRule>
  </conditionalFormatting>
  <conditionalFormatting sqref="F7:F47 H7:H47 J7:J47">
    <cfRule type="cellIs" dxfId="103" priority="1" operator="notEqual">
      <formula>100</formula>
    </cfRule>
  </conditionalFormatting>
  <conditionalFormatting sqref="F49">
    <cfRule type="expression" dxfId="102" priority="4">
      <formula>$D$49="简单平均"</formula>
    </cfRule>
  </conditionalFormatting>
  <conditionalFormatting sqref="F53:F55 H53:H55">
    <cfRule type="containsText" dxfId="101" priority="17" stopIfTrue="1" operator="containsText" text="超过">
      <formula>NOT(ISERROR(SEARCH("超过",F53)))</formula>
    </cfRule>
  </conditionalFormatting>
  <conditionalFormatting sqref="G53">
    <cfRule type="expression" dxfId="100" priority="12" stopIfTrue="1">
      <formula>$H$53="超过30%"</formula>
    </cfRule>
  </conditionalFormatting>
  <conditionalFormatting sqref="G54">
    <cfRule type="expression" dxfId="99" priority="11" stopIfTrue="1">
      <formula>$H$54="超过20%"</formula>
    </cfRule>
  </conditionalFormatting>
  <conditionalFormatting sqref="G55">
    <cfRule type="expression" dxfId="98" priority="13" stopIfTrue="1">
      <formula>$H$55="超过30%"</formula>
    </cfRule>
  </conditionalFormatting>
  <conditionalFormatting sqref="H49">
    <cfRule type="expression" dxfId="97" priority="3">
      <formula>$D$49="简单平均"</formula>
    </cfRule>
  </conditionalFormatting>
  <conditionalFormatting sqref="I53">
    <cfRule type="expression" dxfId="96" priority="7" stopIfTrue="1">
      <formula>$J$53="超过30%"</formula>
    </cfRule>
  </conditionalFormatting>
  <conditionalFormatting sqref="I54">
    <cfRule type="expression" dxfId="95" priority="6" stopIfTrue="1">
      <formula>$J$53+$J$54="超过20%"</formula>
    </cfRule>
  </conditionalFormatting>
  <conditionalFormatting sqref="I55">
    <cfRule type="expression" dxfId="94" priority="5" stopIfTrue="1">
      <formula>$J$55="超过30%"</formula>
    </cfRule>
  </conditionalFormatting>
  <conditionalFormatting sqref="J49">
    <cfRule type="expression" dxfId="93" priority="2">
      <formula>$D$49="简单平均"</formula>
    </cfRule>
  </conditionalFormatting>
  <conditionalFormatting sqref="J53:J55">
    <cfRule type="containsText" dxfId="9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806"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32.74</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860"/>
      <c r="M4" s="861"/>
      <c r="N4" s="861"/>
      <c r="O4" s="861"/>
      <c r="P4" s="3416" t="s">
        <v>1775</v>
      </c>
      <c r="Q4" s="3417"/>
      <c r="R4" s="3398" t="s">
        <v>1771</v>
      </c>
      <c r="S4" s="3399"/>
      <c r="T4" s="3398" t="s">
        <v>1772</v>
      </c>
      <c r="U4" s="3399"/>
      <c r="V4" s="3424" t="s">
        <v>1773</v>
      </c>
      <c r="W4" s="3424"/>
      <c r="X4" s="1265"/>
      <c r="Y4" s="3398" t="s">
        <v>1775</v>
      </c>
      <c r="Z4" s="3399"/>
      <c r="AA4" s="3393" t="s">
        <v>1771</v>
      </c>
      <c r="AB4" s="3394" t="s">
        <v>1772</v>
      </c>
      <c r="AC4" s="3393" t="s">
        <v>1773</v>
      </c>
    </row>
    <row r="5" spans="1:29" ht="15">
      <c r="A5" s="348"/>
      <c r="B5" s="349"/>
      <c r="C5" s="3408" t="s">
        <v>1673</v>
      </c>
      <c r="D5" s="3405"/>
      <c r="E5" s="3402" t="s">
        <v>1674</v>
      </c>
      <c r="F5" s="3403"/>
      <c r="G5" s="3408" t="s">
        <v>1675</v>
      </c>
      <c r="H5" s="3405"/>
      <c r="I5" s="3408" t="s">
        <v>1676</v>
      </c>
      <c r="J5" s="3405"/>
      <c r="K5" s="537"/>
      <c r="L5" s="860"/>
      <c r="M5" s="861"/>
      <c r="N5" s="861"/>
      <c r="O5" s="861"/>
      <c r="P5" s="3418"/>
      <c r="Q5" s="3419"/>
      <c r="R5" s="3400"/>
      <c r="S5" s="3401"/>
      <c r="T5" s="3400"/>
      <c r="U5" s="3401"/>
      <c r="V5" s="3424"/>
      <c r="W5" s="3424"/>
      <c r="X5" s="1265"/>
      <c r="Y5" s="3400"/>
      <c r="Z5" s="3401"/>
      <c r="AA5" s="3394"/>
      <c r="AB5" s="3394"/>
      <c r="AC5" s="3394"/>
    </row>
    <row r="6" spans="1:29" ht="15.75" thickBot="1">
      <c r="A6" s="350"/>
      <c r="B6" s="351"/>
      <c r="C6" s="3406" t="s">
        <v>1677</v>
      </c>
      <c r="D6" s="3407"/>
      <c r="E6" s="3409" t="s">
        <v>1677</v>
      </c>
      <c r="F6" s="3410"/>
      <c r="G6" s="3406" t="s">
        <v>1677</v>
      </c>
      <c r="H6" s="3407"/>
      <c r="I6" s="3406" t="s">
        <v>1677</v>
      </c>
      <c r="J6" s="3407"/>
      <c r="K6" s="537" t="s">
        <v>1678</v>
      </c>
      <c r="L6" s="860"/>
      <c r="M6" s="861"/>
      <c r="N6" s="861"/>
      <c r="O6" s="861"/>
      <c r="P6" s="3420"/>
      <c r="Q6" s="3421"/>
      <c r="R6" s="3400"/>
      <c r="S6" s="3401"/>
      <c r="T6" s="3422"/>
      <c r="U6" s="3423"/>
      <c r="V6" s="3424"/>
      <c r="W6" s="3424"/>
      <c r="X6" s="1265"/>
      <c r="Y6" s="3422"/>
      <c r="Z6" s="3423"/>
      <c r="AA6" s="3395"/>
      <c r="AB6" s="3395"/>
      <c r="AC6" s="3395"/>
    </row>
    <row r="7" spans="1:29" s="102" customFormat="1" ht="15.75" thickBot="1">
      <c r="A7" s="352" t="s">
        <v>1679</v>
      </c>
      <c r="B7" s="353"/>
      <c r="C7" s="354">
        <f>'数据-取费表'!B2</f>
        <v>46015</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1680</v>
      </c>
      <c r="Q7" s="3425"/>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1683</v>
      </c>
      <c r="Q8" s="3397"/>
      <c r="R8" s="664" t="s">
        <v>14</v>
      </c>
      <c r="S8" s="665">
        <f t="shared" si="0"/>
        <v>100</v>
      </c>
      <c r="T8" s="664" t="s">
        <v>14</v>
      </c>
      <c r="U8" s="665">
        <f t="shared" si="1"/>
        <v>100</v>
      </c>
      <c r="V8" s="664" t="s">
        <v>14</v>
      </c>
      <c r="W8" s="665">
        <f t="shared" si="2"/>
        <v>100</v>
      </c>
      <c r="X8" s="666"/>
      <c r="Y8" s="3396" t="s">
        <v>1683</v>
      </c>
      <c r="Z8" s="3397"/>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29"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29"/>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29"/>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6"/>
      <c r="H12" s="119">
        <f>SUMIF(64:64,G12,65:65)-SUMIF(64:64,C12,65:65)+100</f>
        <v>100</v>
      </c>
      <c r="I12" s="407"/>
      <c r="J12" s="119">
        <f>SUMIF(64:64,I12,65:65)-SUMIF(64:64,C12,65:65)+100</f>
        <v>100</v>
      </c>
      <c r="K12" s="539"/>
      <c r="L12" s="862"/>
      <c r="M12" s="863"/>
      <c r="N12" s="863"/>
      <c r="O12" s="864"/>
      <c r="P12" s="3429"/>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6"/>
      <c r="H13" s="374">
        <f>SUMIF(66:66,G13,67:67)-SUMIF(66:66,C13,67:67)+100</f>
        <v>100</v>
      </c>
      <c r="I13" s="407"/>
      <c r="J13" s="374">
        <f>SUMIF(66:66,I13,67:67)-SUMIF(66:66,C13,67:67)+100</f>
        <v>100</v>
      </c>
      <c r="K13" s="539"/>
      <c r="L13" s="870"/>
      <c r="M13" s="861"/>
      <c r="N13" s="861"/>
      <c r="O13" s="869"/>
      <c r="P13" s="3429"/>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6"/>
      <c r="F14" s="377">
        <f>SUMIF(68:68,E14,69:69)-SUMIF(68:68,C14,69:69)+100</f>
        <v>100</v>
      </c>
      <c r="G14" s="1816"/>
      <c r="H14" s="377">
        <f>SUMIF(68:68,G14,69:69)-SUMIF(68:68,C14,69:69)+100</f>
        <v>100</v>
      </c>
      <c r="I14" s="407"/>
      <c r="J14" s="377">
        <f>SUMIF(68:68,I14,69:69)-SUMIF(68:68,C14,69:69)+100</f>
        <v>100</v>
      </c>
      <c r="K14" s="539"/>
      <c r="L14" s="870"/>
      <c r="M14" s="861"/>
      <c r="N14" s="861"/>
      <c r="O14" s="869"/>
      <c r="P14" s="3429"/>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1690</v>
      </c>
      <c r="B15" s="58" t="s">
        <v>1827</v>
      </c>
      <c r="C15" s="1817"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30" t="s">
        <v>1691</v>
      </c>
      <c r="Q15" s="1263" t="str">
        <f t="shared" si="6"/>
        <v>产业集聚程度</v>
      </c>
      <c r="R15" s="667" t="s">
        <v>14</v>
      </c>
      <c r="S15" s="668">
        <f t="shared" si="0"/>
        <v>100</v>
      </c>
      <c r="T15" s="667" t="s">
        <v>14</v>
      </c>
      <c r="U15" s="668">
        <f t="shared" si="1"/>
        <v>100</v>
      </c>
      <c r="V15" s="667" t="s">
        <v>14</v>
      </c>
      <c r="W15" s="668">
        <f t="shared" si="2"/>
        <v>100</v>
      </c>
      <c r="X15" s="1265"/>
      <c r="Y15" s="3430"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431"/>
      <c r="Q16" s="1263"/>
      <c r="R16" s="667"/>
      <c r="S16" s="668"/>
      <c r="T16" s="667"/>
      <c r="U16" s="668"/>
      <c r="V16" s="667"/>
      <c r="W16" s="668"/>
      <c r="X16" s="1265"/>
      <c r="Y16" s="3431"/>
      <c r="Z16" s="1264"/>
      <c r="AA16" s="1264">
        <v>1</v>
      </c>
      <c r="AB16" s="1264">
        <v>1</v>
      </c>
      <c r="AC16" s="1264">
        <v>1</v>
      </c>
    </row>
    <row r="17" spans="1:29" ht="85.5">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431"/>
      <c r="Q18" s="1263"/>
      <c r="R18" s="667"/>
      <c r="S18" s="668"/>
      <c r="T18" s="667"/>
      <c r="U18" s="668"/>
      <c r="V18" s="667"/>
      <c r="W18" s="668"/>
      <c r="X18" s="1265"/>
      <c r="Y18" s="3431"/>
      <c r="Z18" s="1264"/>
      <c r="AA18" s="1264">
        <v>1</v>
      </c>
      <c r="AB18" s="1264">
        <v>1</v>
      </c>
      <c r="AC18" s="1264">
        <v>1</v>
      </c>
    </row>
    <row r="19" spans="1:29" ht="42.75">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31"/>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431"/>
      <c r="Q20" s="1263"/>
      <c r="R20" s="667"/>
      <c r="S20" s="668"/>
      <c r="T20" s="667"/>
      <c r="U20" s="668"/>
      <c r="V20" s="667"/>
      <c r="W20" s="668"/>
      <c r="X20" s="1265"/>
      <c r="Y20" s="3431"/>
      <c r="Z20" s="1264"/>
      <c r="AA20" s="1264">
        <v>1</v>
      </c>
      <c r="AB20" s="1264">
        <v>1</v>
      </c>
      <c r="AC20" s="1264">
        <v>1</v>
      </c>
    </row>
    <row r="21" spans="1:29" ht="28.5">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31"/>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431"/>
      <c r="Q22" s="1263"/>
      <c r="R22" s="667"/>
      <c r="S22" s="668"/>
      <c r="T22" s="667"/>
      <c r="U22" s="668"/>
      <c r="V22" s="667"/>
      <c r="W22" s="668"/>
      <c r="X22" s="1265"/>
      <c r="Y22" s="3431"/>
      <c r="Z22" s="1264"/>
      <c r="AA22" s="1264">
        <v>1</v>
      </c>
      <c r="AB22" s="1264">
        <v>1</v>
      </c>
      <c r="AC22" s="1264">
        <v>1</v>
      </c>
    </row>
    <row r="23" spans="1:29" ht="71.25">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31"/>
      <c r="Q23" s="1263" t="str">
        <f>B23</f>
        <v>环境质量</v>
      </c>
      <c r="R23" s="667" t="s">
        <v>14</v>
      </c>
      <c r="S23" s="668">
        <f>F23</f>
        <v>100</v>
      </c>
      <c r="T23" s="667" t="s">
        <v>14</v>
      </c>
      <c r="U23" s="668">
        <f>H23</f>
        <v>100</v>
      </c>
      <c r="V23" s="667" t="s">
        <v>14</v>
      </c>
      <c r="W23" s="668">
        <f>J23</f>
        <v>100</v>
      </c>
      <c r="X23" s="1265"/>
      <c r="Y23" s="3431"/>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431"/>
      <c r="Q24" s="1263"/>
      <c r="R24" s="667"/>
      <c r="S24" s="668"/>
      <c r="T24" s="667"/>
      <c r="U24" s="668"/>
      <c r="V24" s="667"/>
      <c r="W24" s="668"/>
      <c r="X24" s="1265"/>
      <c r="Y24" s="3431"/>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31"/>
      <c r="Q25" s="1263">
        <f>B25</f>
        <v>111</v>
      </c>
      <c r="R25" s="667" t="s">
        <v>14</v>
      </c>
      <c r="S25" s="668">
        <f>F25</f>
        <v>100</v>
      </c>
      <c r="T25" s="667" t="s">
        <v>14</v>
      </c>
      <c r="U25" s="668">
        <f>H25</f>
        <v>100</v>
      </c>
      <c r="V25" s="667" t="s">
        <v>14</v>
      </c>
      <c r="W25" s="668">
        <f>J25</f>
        <v>100</v>
      </c>
      <c r="X25" s="1265"/>
      <c r="Y25" s="3431"/>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31"/>
      <c r="Q26" s="1263">
        <f t="shared" ref="Q26:Q40" si="11">B26</f>
        <v>111</v>
      </c>
      <c r="R26" s="667" t="s">
        <v>14</v>
      </c>
      <c r="S26" s="668">
        <f>F26</f>
        <v>100</v>
      </c>
      <c r="T26" s="667" t="s">
        <v>14</v>
      </c>
      <c r="U26" s="668">
        <f>H26</f>
        <v>100</v>
      </c>
      <c r="V26" s="667" t="s">
        <v>14</v>
      </c>
      <c r="W26" s="668">
        <f>J26</f>
        <v>100</v>
      </c>
      <c r="X26" s="1265"/>
      <c r="Y26" s="3431"/>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31"/>
      <c r="Q27" s="530">
        <f t="shared" si="11"/>
        <v>111</v>
      </c>
      <c r="R27" s="664" t="s">
        <v>14</v>
      </c>
      <c r="S27" s="665">
        <f>F27</f>
        <v>100</v>
      </c>
      <c r="T27" s="664" t="s">
        <v>14</v>
      </c>
      <c r="U27" s="665">
        <f>H27</f>
        <v>100</v>
      </c>
      <c r="V27" s="664" t="s">
        <v>14</v>
      </c>
      <c r="W27" s="665">
        <f>J27</f>
        <v>100</v>
      </c>
      <c r="X27" s="666"/>
      <c r="Y27" s="3431"/>
      <c r="Z27" s="50">
        <f>Q27</f>
        <v>111</v>
      </c>
      <c r="AA27" s="1264">
        <f>D27/F27</f>
        <v>1</v>
      </c>
      <c r="AB27" s="1264">
        <f>D27/H27</f>
        <v>1</v>
      </c>
      <c r="AC27" s="1264">
        <f>D27/J27</f>
        <v>1</v>
      </c>
    </row>
    <row r="28" spans="1:29" ht="15.75"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31"/>
      <c r="Q28" s="1263">
        <f t="shared" si="11"/>
        <v>111</v>
      </c>
      <c r="R28" s="667" t="s">
        <v>14</v>
      </c>
      <c r="S28" s="668">
        <f t="shared" ref="S28:S40" si="12">F28</f>
        <v>100</v>
      </c>
      <c r="T28" s="667" t="s">
        <v>14</v>
      </c>
      <c r="U28" s="668">
        <f t="shared" ref="U28:U40" si="13">H28</f>
        <v>100</v>
      </c>
      <c r="V28" s="667" t="s">
        <v>14</v>
      </c>
      <c r="W28" s="668">
        <f t="shared" ref="W28:W40" si="14">J28</f>
        <v>100</v>
      </c>
      <c r="X28" s="1265"/>
      <c r="Y28" s="3431"/>
      <c r="Z28" s="1264">
        <f t="shared" ref="Z28:Z40" si="15">Q28</f>
        <v>111</v>
      </c>
      <c r="AA28" s="1264">
        <f t="shared" si="3"/>
        <v>1</v>
      </c>
      <c r="AB28" s="1264">
        <f t="shared" si="4"/>
        <v>1</v>
      </c>
      <c r="AC28" s="1264">
        <f t="shared" si="5"/>
        <v>1</v>
      </c>
    </row>
    <row r="29" spans="1:29" ht="28.5">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435"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35"/>
      <c r="Q30" s="531" t="str">
        <f t="shared" si="11"/>
        <v>项目建筑规模</v>
      </c>
      <c r="R30" s="669" t="s">
        <v>14</v>
      </c>
      <c r="S30" s="670" t="e">
        <f t="shared" si="12"/>
        <v>#N/A</v>
      </c>
      <c r="T30" s="669" t="s">
        <v>14</v>
      </c>
      <c r="U30" s="670" t="e">
        <f t="shared" si="13"/>
        <v>#N/A</v>
      </c>
      <c r="V30" s="669" t="s">
        <v>14</v>
      </c>
      <c r="W30" s="670" t="e">
        <f t="shared" si="14"/>
        <v>#N/A</v>
      </c>
      <c r="X30" s="671"/>
      <c r="Y30" s="3435"/>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35"/>
      <c r="Q31" s="1263" t="str">
        <f t="shared" si="11"/>
        <v>建筑结构</v>
      </c>
      <c r="R31" s="667" t="s">
        <v>14</v>
      </c>
      <c r="S31" s="668">
        <f t="shared" si="12"/>
        <v>100</v>
      </c>
      <c r="T31" s="667" t="s">
        <v>14</v>
      </c>
      <c r="U31" s="668">
        <f t="shared" si="13"/>
        <v>100</v>
      </c>
      <c r="V31" s="667" t="s">
        <v>14</v>
      </c>
      <c r="W31" s="668">
        <f t="shared" si="14"/>
        <v>100</v>
      </c>
      <c r="X31" s="1265"/>
      <c r="Y31" s="3435"/>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35"/>
      <c r="Q32" s="1263" t="str">
        <f t="shared" si="11"/>
        <v>公共部分装修</v>
      </c>
      <c r="R32" s="667" t="s">
        <v>14</v>
      </c>
      <c r="S32" s="668">
        <f t="shared" si="12"/>
        <v>100</v>
      </c>
      <c r="T32" s="667" t="s">
        <v>14</v>
      </c>
      <c r="U32" s="668">
        <f t="shared" si="13"/>
        <v>100</v>
      </c>
      <c r="V32" s="667" t="s">
        <v>14</v>
      </c>
      <c r="W32" s="668">
        <f t="shared" si="14"/>
        <v>100</v>
      </c>
      <c r="X32" s="1265"/>
      <c r="Y32" s="3435"/>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35"/>
      <c r="Q33" s="1263" t="str">
        <f t="shared" si="11"/>
        <v>成新度</v>
      </c>
      <c r="R33" s="667" t="s">
        <v>14</v>
      </c>
      <c r="S33" s="668" t="e">
        <f t="shared" si="12"/>
        <v>#N/A</v>
      </c>
      <c r="T33" s="667" t="s">
        <v>14</v>
      </c>
      <c r="U33" s="668" t="e">
        <f t="shared" si="13"/>
        <v>#N/A</v>
      </c>
      <c r="V33" s="667" t="s">
        <v>14</v>
      </c>
      <c r="W33" s="668" t="e">
        <f t="shared" si="14"/>
        <v>#N/A</v>
      </c>
      <c r="X33" s="1265"/>
      <c r="Y33" s="3435"/>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35"/>
      <c r="Q34" s="530" t="str">
        <f t="shared" si="11"/>
        <v>物业管理</v>
      </c>
      <c r="R34" s="664" t="s">
        <v>14</v>
      </c>
      <c r="S34" s="665">
        <f t="shared" si="12"/>
        <v>100</v>
      </c>
      <c r="T34" s="664" t="s">
        <v>14</v>
      </c>
      <c r="U34" s="665">
        <f t="shared" si="13"/>
        <v>100</v>
      </c>
      <c r="V34" s="664" t="s">
        <v>14</v>
      </c>
      <c r="W34" s="665">
        <f t="shared" si="14"/>
        <v>100</v>
      </c>
      <c r="X34" s="666"/>
      <c r="Y34" s="3435"/>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35" t="s">
        <v>1696</v>
      </c>
      <c r="Q35" s="1263" t="str">
        <f t="shared" si="11"/>
        <v>市政基础设施</v>
      </c>
      <c r="R35" s="667" t="s">
        <v>14</v>
      </c>
      <c r="S35" s="668">
        <f t="shared" si="12"/>
        <v>100</v>
      </c>
      <c r="T35" s="667" t="s">
        <v>14</v>
      </c>
      <c r="U35" s="668">
        <f t="shared" si="13"/>
        <v>100</v>
      </c>
      <c r="V35" s="667" t="s">
        <v>14</v>
      </c>
      <c r="W35" s="668">
        <f t="shared" si="14"/>
        <v>100</v>
      </c>
      <c r="X35" s="1265"/>
      <c r="Y35" s="3435"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35"/>
      <c r="Q36" s="1263" t="str">
        <f t="shared" si="11"/>
        <v>内部装修</v>
      </c>
      <c r="R36" s="667" t="s">
        <v>14</v>
      </c>
      <c r="S36" s="668">
        <f t="shared" si="12"/>
        <v>100</v>
      </c>
      <c r="T36" s="667" t="s">
        <v>14</v>
      </c>
      <c r="U36" s="668">
        <f t="shared" si="13"/>
        <v>100</v>
      </c>
      <c r="V36" s="667" t="s">
        <v>14</v>
      </c>
      <c r="W36" s="668">
        <f t="shared" si="14"/>
        <v>100</v>
      </c>
      <c r="X36" s="1265"/>
      <c r="Y36" s="3435"/>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35"/>
      <c r="Q37" s="1263" t="str">
        <f t="shared" si="11"/>
        <v>内部装修状况</v>
      </c>
      <c r="R37" s="667" t="s">
        <v>14</v>
      </c>
      <c r="S37" s="668">
        <f t="shared" si="12"/>
        <v>100</v>
      </c>
      <c r="T37" s="667" t="s">
        <v>14</v>
      </c>
      <c r="U37" s="668">
        <f t="shared" si="13"/>
        <v>100</v>
      </c>
      <c r="V37" s="667" t="s">
        <v>14</v>
      </c>
      <c r="W37" s="668">
        <f t="shared" si="14"/>
        <v>100</v>
      </c>
      <c r="X37" s="1265"/>
      <c r="Y37" s="3435"/>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35"/>
      <c r="Q38" s="531">
        <f t="shared" si="11"/>
        <v>111</v>
      </c>
      <c r="R38" s="669" t="s">
        <v>14</v>
      </c>
      <c r="S38" s="670">
        <f t="shared" si="12"/>
        <v>100</v>
      </c>
      <c r="T38" s="669" t="s">
        <v>14</v>
      </c>
      <c r="U38" s="670">
        <f t="shared" si="13"/>
        <v>100</v>
      </c>
      <c r="V38" s="669" t="s">
        <v>14</v>
      </c>
      <c r="W38" s="670">
        <f t="shared" si="14"/>
        <v>100</v>
      </c>
      <c r="X38" s="671"/>
      <c r="Y38" s="3435"/>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35"/>
      <c r="Q39" s="1263">
        <f t="shared" si="11"/>
        <v>111</v>
      </c>
      <c r="R39" s="667" t="s">
        <v>14</v>
      </c>
      <c r="S39" s="668">
        <f t="shared" si="12"/>
        <v>100</v>
      </c>
      <c r="T39" s="667" t="s">
        <v>14</v>
      </c>
      <c r="U39" s="668">
        <f t="shared" si="13"/>
        <v>100</v>
      </c>
      <c r="V39" s="667" t="s">
        <v>14</v>
      </c>
      <c r="W39" s="668">
        <f t="shared" si="14"/>
        <v>100</v>
      </c>
      <c r="X39" s="1265"/>
      <c r="Y39" s="3435"/>
      <c r="Z39" s="1264">
        <f t="shared" si="15"/>
        <v>111</v>
      </c>
      <c r="AA39" s="1264">
        <f t="shared" si="3"/>
        <v>1</v>
      </c>
      <c r="AB39" s="1264">
        <f t="shared" si="4"/>
        <v>1</v>
      </c>
      <c r="AC39" s="1264">
        <f t="shared" si="5"/>
        <v>1</v>
      </c>
    </row>
    <row r="40" spans="1:29" ht="15.75"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36"/>
      <c r="Q40" s="1263">
        <f t="shared" si="11"/>
        <v>111</v>
      </c>
      <c r="R40" s="667" t="s">
        <v>14</v>
      </c>
      <c r="S40" s="668">
        <f t="shared" si="12"/>
        <v>100</v>
      </c>
      <c r="T40" s="667" t="s">
        <v>14</v>
      </c>
      <c r="U40" s="668">
        <f t="shared" si="13"/>
        <v>100</v>
      </c>
      <c r="V40" s="667" t="s">
        <v>14</v>
      </c>
      <c r="W40" s="668">
        <f t="shared" si="14"/>
        <v>100</v>
      </c>
      <c r="X40" s="1265"/>
      <c r="Y40" s="3436"/>
      <c r="Z40" s="1264">
        <f t="shared" si="15"/>
        <v>111</v>
      </c>
      <c r="AA40" s="1264">
        <f t="shared" si="3"/>
        <v>1</v>
      </c>
      <c r="AB40" s="1264">
        <f t="shared" si="4"/>
        <v>1</v>
      </c>
      <c r="AC40" s="1264">
        <f t="shared" si="5"/>
        <v>1</v>
      </c>
    </row>
    <row r="41" spans="1:29" ht="15">
      <c r="A41" s="416" t="s">
        <v>1708</v>
      </c>
      <c r="B41" s="417"/>
      <c r="C41" s="1081" t="s">
        <v>0</v>
      </c>
      <c r="D41" s="418"/>
      <c r="E41" s="419"/>
      <c r="F41" s="420"/>
      <c r="G41" s="421"/>
      <c r="H41" s="422"/>
      <c r="I41" s="419"/>
      <c r="J41" s="422"/>
      <c r="K41" s="674"/>
      <c r="L41" s="873"/>
      <c r="M41" s="861"/>
      <c r="N41" s="861"/>
      <c r="O41" s="861"/>
      <c r="P41" s="3429" t="str">
        <f>A41</f>
        <v>成交单价（元/平方米）</v>
      </c>
      <c r="Q41" s="3429"/>
      <c r="R41" s="3424">
        <f>E41</f>
        <v>0</v>
      </c>
      <c r="S41" s="3424"/>
      <c r="T41" s="3424">
        <f>G41</f>
        <v>0</v>
      </c>
      <c r="U41" s="3424"/>
      <c r="V41" s="3424">
        <f>I41</f>
        <v>0</v>
      </c>
      <c r="W41" s="3424"/>
      <c r="X41" s="385"/>
      <c r="Y41" s="673"/>
      <c r="Z41" s="385"/>
      <c r="AA41" s="385"/>
      <c r="AB41" s="385"/>
      <c r="AC41" s="385"/>
    </row>
    <row r="42" spans="1:29" ht="15.75" thickBot="1">
      <c r="A42" s="423" t="s">
        <v>1793</v>
      </c>
      <c r="B42" s="424"/>
      <c r="C42" s="1082" t="e">
        <f>R43</f>
        <v>#DIV/0!</v>
      </c>
      <c r="D42" s="2139" t="s">
        <v>2138</v>
      </c>
      <c r="E42" s="1083" t="e">
        <f>R42</f>
        <v>#DIV/0!</v>
      </c>
      <c r="F42" s="2140"/>
      <c r="G42" s="1082" t="e">
        <f>T42</f>
        <v>#DIV/0!</v>
      </c>
      <c r="H42" s="2140"/>
      <c r="I42" s="1083" t="e">
        <f>V42</f>
        <v>#DIV/0!</v>
      </c>
      <c r="J42" s="2140"/>
      <c r="K42" s="2142">
        <f>F42+H42+J42</f>
        <v>0</v>
      </c>
      <c r="L42" s="873"/>
      <c r="M42" s="861"/>
      <c r="N42" s="861"/>
      <c r="O42" s="861"/>
      <c r="P42" s="3429" t="str">
        <f>A42</f>
        <v>比较价值（元/平方米）</v>
      </c>
      <c r="Q42" s="3429"/>
      <c r="R42" s="3424" t="e">
        <f>IF(F1="售价",ROUND(PRODUCT(R41,AA7:AA40),0),ROUND(PRODUCT(R41,AA7:AA40),1))</f>
        <v>#DIV/0!</v>
      </c>
      <c r="S42" s="3424"/>
      <c r="T42" s="3424" t="e">
        <f>IF(F1="售价",ROUND(PRODUCT(T41,AB7:AB40),0),ROUND(PRODUCT(T41,AB7:AB40),1))</f>
        <v>#DIV/0!</v>
      </c>
      <c r="U42" s="3424"/>
      <c r="V42" s="3424" t="e">
        <f>IF(F1="售价",ROUND(PRODUCT(V41,AC7:AC40),0),ROUND(PRODUCT(V41,AC7:AC40),1))</f>
        <v>#DIV/0!</v>
      </c>
      <c r="W42" s="3424"/>
      <c r="X42" s="385"/>
      <c r="Y42" s="385"/>
      <c r="Z42" s="385"/>
      <c r="AA42" s="385"/>
      <c r="AB42" s="385"/>
      <c r="AC42" s="385"/>
    </row>
    <row r="43" spans="1:29" ht="15.75" thickBot="1">
      <c r="A43" s="427" t="s">
        <v>1794</v>
      </c>
      <c r="B43" s="428"/>
      <c r="C43" s="351" t="e">
        <f>R43</f>
        <v>#DIV/0!</v>
      </c>
      <c r="D43" s="351"/>
      <c r="E43" s="351"/>
      <c r="F43" s="351"/>
      <c r="G43" s="351"/>
      <c r="H43" s="351"/>
      <c r="I43" s="351"/>
      <c r="J43" s="351"/>
      <c r="K43" s="675"/>
      <c r="L43" s="873"/>
      <c r="M43" s="861"/>
      <c r="N43" s="861"/>
      <c r="O43" s="861"/>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75" thickBot="1">
      <c r="A51" s="658" t="s">
        <v>1798</v>
      </c>
      <c r="B51" s="385"/>
      <c r="C51" s="659"/>
      <c r="D51" s="659"/>
      <c r="E51" s="659"/>
      <c r="F51" s="660"/>
      <c r="G51" s="660"/>
      <c r="H51" s="659"/>
      <c r="I51" s="659"/>
      <c r="J51" s="659"/>
      <c r="K51" s="887"/>
      <c r="L51" s="888"/>
      <c r="M51" s="886"/>
      <c r="N51" s="886"/>
      <c r="O51" s="886"/>
      <c r="P51" s="438"/>
      <c r="Q51" s="439"/>
    </row>
    <row r="52" spans="1:17" s="442" customFormat="1" ht="15">
      <c r="A52" s="440" t="s">
        <v>1679</v>
      </c>
      <c r="B52" s="441"/>
      <c r="C52" s="1103" t="str">
        <f>YEAR(C7)&amp;"-"&amp;MONTH(C7)</f>
        <v>2025-12</v>
      </c>
      <c r="D52" s="1104">
        <f>EDATE(C52,-1)</f>
        <v>45962</v>
      </c>
      <c r="E52" s="1104">
        <f t="shared" ref="E52:O52" si="16">EDATE(D52,-1)</f>
        <v>45931</v>
      </c>
      <c r="F52" s="1104">
        <f t="shared" si="16"/>
        <v>45901</v>
      </c>
      <c r="G52" s="1104">
        <f t="shared" si="16"/>
        <v>45870</v>
      </c>
      <c r="H52" s="1104">
        <f t="shared" si="16"/>
        <v>45839</v>
      </c>
      <c r="I52" s="1104">
        <f t="shared" si="16"/>
        <v>45809</v>
      </c>
      <c r="J52" s="1104">
        <f t="shared" si="16"/>
        <v>45778</v>
      </c>
      <c r="K52" s="1104">
        <f t="shared" si="16"/>
        <v>45748</v>
      </c>
      <c r="L52" s="1104">
        <f t="shared" si="16"/>
        <v>45717</v>
      </c>
      <c r="M52" s="1104">
        <f t="shared" si="16"/>
        <v>45689</v>
      </c>
      <c r="N52" s="1104">
        <f t="shared" si="16"/>
        <v>45658</v>
      </c>
      <c r="O52" s="1104">
        <f t="shared" si="16"/>
        <v>45627</v>
      </c>
    </row>
    <row r="53" spans="1:17" s="102" customFormat="1" ht="15">
      <c r="A53" s="443"/>
      <c r="B53" s="444"/>
      <c r="C53" s="1102">
        <v>100</v>
      </c>
      <c r="D53" s="446"/>
      <c r="E53" s="446"/>
      <c r="F53" s="446"/>
      <c r="G53" s="446"/>
      <c r="H53" s="446"/>
      <c r="I53" s="446"/>
      <c r="J53" s="446"/>
      <c r="K53" s="446"/>
      <c r="L53" s="446"/>
      <c r="M53" s="447"/>
      <c r="N53" s="446"/>
      <c r="O53" s="448"/>
      <c r="P53" s="439"/>
    </row>
    <row r="54" spans="1:17" s="102" customFormat="1" ht="15.75" thickBot="1">
      <c r="A54" s="449" t="s">
        <v>1716</v>
      </c>
      <c r="B54" s="450"/>
      <c r="C54" s="451"/>
      <c r="D54" s="452"/>
      <c r="E54" s="452"/>
      <c r="F54" s="452"/>
      <c r="G54" s="452"/>
      <c r="H54" s="452"/>
      <c r="I54" s="452"/>
      <c r="J54" s="452"/>
      <c r="K54" s="452"/>
      <c r="L54" s="452"/>
      <c r="M54" s="453"/>
      <c r="N54" s="2537"/>
      <c r="O54" s="2538"/>
      <c r="P54" s="439"/>
      <c r="Q54" s="439"/>
    </row>
    <row r="55" spans="1:17" s="102" customFormat="1" ht="15">
      <c r="A55" s="455" t="s">
        <v>1681</v>
      </c>
      <c r="B55" s="444"/>
      <c r="C55" s="456" t="s">
        <v>1776</v>
      </c>
      <c r="D55" s="31"/>
      <c r="E55" s="31"/>
      <c r="F55" s="31"/>
      <c r="G55" s="31"/>
      <c r="H55" s="31"/>
      <c r="I55" s="31"/>
      <c r="J55" s="31"/>
      <c r="K55" s="31"/>
      <c r="L55" s="457"/>
      <c r="M55" s="458"/>
      <c r="N55" s="878"/>
      <c r="O55" s="878"/>
      <c r="P55" s="459"/>
      <c r="Q55" s="439"/>
    </row>
    <row r="56" spans="1:17" s="102" customFormat="1" ht="15.7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5.75" thickBot="1">
      <c r="A58" s="367"/>
      <c r="B58" s="466"/>
      <c r="C58" s="467">
        <v>100</v>
      </c>
      <c r="D58" s="467"/>
      <c r="E58" s="467"/>
      <c r="F58" s="467"/>
      <c r="G58" s="467"/>
      <c r="H58" s="467"/>
      <c r="I58" s="467"/>
      <c r="J58" s="467"/>
      <c r="K58" s="467"/>
      <c r="L58" s="467"/>
      <c r="M58" s="468"/>
      <c r="N58" s="880"/>
      <c r="O58" s="880"/>
      <c r="P58" s="40"/>
      <c r="Q58" s="439"/>
    </row>
    <row r="59" spans="1:17" ht="27.75" thickTop="1">
      <c r="A59" s="367"/>
      <c r="B59" s="469" t="s">
        <v>1688</v>
      </c>
      <c r="C59" s="513"/>
      <c r="D59" s="513"/>
      <c r="E59" s="513"/>
      <c r="F59" s="513"/>
      <c r="G59" s="513"/>
      <c r="H59" s="513"/>
      <c r="I59" s="513"/>
      <c r="J59" s="513"/>
      <c r="K59" s="514"/>
      <c r="L59" s="515"/>
      <c r="M59" s="516"/>
      <c r="N59" s="879"/>
      <c r="O59" s="879"/>
      <c r="P59" s="40"/>
      <c r="Q59" s="439"/>
    </row>
    <row r="60" spans="1:17" ht="15.75" thickBot="1">
      <c r="A60" s="367"/>
      <c r="B60" s="474"/>
      <c r="C60" s="467"/>
      <c r="D60" s="467"/>
      <c r="E60" s="467"/>
      <c r="F60" s="467"/>
      <c r="G60" s="467"/>
      <c r="H60" s="467"/>
      <c r="I60" s="467"/>
      <c r="J60" s="467"/>
      <c r="K60" s="467"/>
      <c r="L60" s="467"/>
      <c r="M60" s="468"/>
      <c r="N60" s="880"/>
      <c r="O60" s="880"/>
      <c r="P60" s="40"/>
      <c r="Q60" s="439"/>
    </row>
    <row r="61" spans="1:17" ht="15.7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ht="15">
      <c r="A62" s="367"/>
      <c r="B62" s="479"/>
      <c r="C62" s="480">
        <v>0</v>
      </c>
      <c r="D62" s="480">
        <v>2</v>
      </c>
      <c r="E62" s="480"/>
      <c r="F62" s="480"/>
      <c r="G62" s="480"/>
      <c r="H62" s="480"/>
      <c r="I62" s="480"/>
      <c r="J62" s="480"/>
      <c r="K62" s="481"/>
      <c r="L62" s="482"/>
      <c r="M62" s="483"/>
      <c r="N62" s="879"/>
      <c r="O62" s="879"/>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5.75" thickTop="1">
      <c r="A64" s="484"/>
      <c r="B64" s="469">
        <f>B12</f>
        <v>111</v>
      </c>
      <c r="C64" s="485"/>
      <c r="D64" s="485"/>
      <c r="E64" s="485"/>
      <c r="F64" s="485"/>
      <c r="G64" s="485"/>
      <c r="H64" s="486"/>
      <c r="I64" s="486"/>
      <c r="J64" s="486"/>
      <c r="K64" s="486"/>
      <c r="L64" s="487"/>
      <c r="M64" s="488"/>
      <c r="N64" s="881"/>
      <c r="O64" s="881"/>
      <c r="P64" s="489"/>
      <c r="Q64" s="490"/>
    </row>
    <row r="65" spans="1:17" s="408" customFormat="1" ht="15.75" thickBot="1">
      <c r="A65" s="484"/>
      <c r="B65" s="474"/>
      <c r="C65" s="491"/>
      <c r="D65" s="467"/>
      <c r="E65" s="467"/>
      <c r="F65" s="467"/>
      <c r="G65" s="467"/>
      <c r="H65" s="467"/>
      <c r="I65" s="467"/>
      <c r="J65" s="467"/>
      <c r="K65" s="467"/>
      <c r="L65" s="467"/>
      <c r="M65" s="468"/>
      <c r="N65" s="880"/>
      <c r="O65" s="880"/>
      <c r="P65" s="489"/>
      <c r="Q65" s="490"/>
    </row>
    <row r="66" spans="1:17" s="408" customFormat="1" ht="15.75" thickTop="1">
      <c r="A66" s="484"/>
      <c r="B66" s="469">
        <f>B13</f>
        <v>111</v>
      </c>
      <c r="C66" s="485"/>
      <c r="D66" s="485"/>
      <c r="E66" s="485"/>
      <c r="F66" s="485"/>
      <c r="G66" s="485"/>
      <c r="H66" s="486"/>
      <c r="I66" s="486"/>
      <c r="J66" s="486"/>
      <c r="K66" s="486"/>
      <c r="L66" s="487"/>
      <c r="M66" s="488"/>
      <c r="N66" s="881"/>
      <c r="O66" s="881"/>
      <c r="Q66" s="492"/>
    </row>
    <row r="67" spans="1:17" s="408" customFormat="1" ht="15.75" thickBot="1">
      <c r="A67" s="484"/>
      <c r="B67" s="474"/>
      <c r="C67" s="491"/>
      <c r="D67" s="467"/>
      <c r="E67" s="467"/>
      <c r="F67" s="467"/>
      <c r="G67" s="491"/>
      <c r="H67" s="493"/>
      <c r="I67" s="493"/>
      <c r="J67" s="493"/>
      <c r="K67" s="493"/>
      <c r="L67" s="493"/>
      <c r="M67" s="494"/>
      <c r="N67" s="881"/>
      <c r="O67" s="881"/>
      <c r="P67" s="489"/>
      <c r="Q67" s="490"/>
    </row>
    <row r="68" spans="1:17" s="408" customFormat="1" ht="15.75" thickTop="1">
      <c r="A68" s="484"/>
      <c r="B68" s="477">
        <f>B14</f>
        <v>111</v>
      </c>
      <c r="C68" s="31"/>
      <c r="D68" s="31"/>
      <c r="E68" s="31"/>
      <c r="F68" s="31"/>
      <c r="G68" s="31"/>
      <c r="H68" s="495"/>
      <c r="I68" s="495"/>
      <c r="J68" s="495"/>
      <c r="K68" s="495"/>
      <c r="L68" s="496"/>
      <c r="M68" s="497"/>
      <c r="N68" s="881"/>
      <c r="O68" s="881"/>
      <c r="P68" s="498"/>
      <c r="Q68" s="490"/>
    </row>
    <row r="69" spans="1:17" s="408" customFormat="1" ht="15.7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7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7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7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5.7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7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5.75" thickTop="1">
      <c r="A80" s="370"/>
      <c r="B80" s="469">
        <f>B25</f>
        <v>111</v>
      </c>
      <c r="C80" s="485"/>
      <c r="D80" s="485"/>
      <c r="E80" s="485"/>
      <c r="F80" s="485"/>
      <c r="G80" s="485"/>
      <c r="H80" s="485"/>
      <c r="I80" s="485"/>
      <c r="J80" s="485"/>
      <c r="K80" s="485"/>
      <c r="L80" s="510"/>
      <c r="M80" s="511"/>
      <c r="N80" s="878"/>
      <c r="O80" s="878"/>
      <c r="P80" s="40"/>
      <c r="Q80" s="439"/>
    </row>
    <row r="81" spans="1:17" s="102" customFormat="1" ht="15.75" thickBot="1">
      <c r="A81" s="370"/>
      <c r="B81" s="474"/>
      <c r="C81" s="491"/>
      <c r="D81" s="467"/>
      <c r="E81" s="467"/>
      <c r="F81" s="467"/>
      <c r="G81" s="467"/>
      <c r="H81" s="467"/>
      <c r="I81" s="467"/>
      <c r="J81" s="467"/>
      <c r="K81" s="467"/>
      <c r="L81" s="467"/>
      <c r="M81" s="468"/>
      <c r="N81" s="880"/>
      <c r="O81" s="880"/>
      <c r="P81" s="40"/>
      <c r="Q81" s="439"/>
    </row>
    <row r="82" spans="1:17" s="102" customFormat="1" ht="15.75" thickTop="1">
      <c r="A82" s="370"/>
      <c r="B82" s="469">
        <f>B26</f>
        <v>111</v>
      </c>
      <c r="C82" s="485"/>
      <c r="D82" s="485"/>
      <c r="E82" s="485"/>
      <c r="F82" s="485"/>
      <c r="G82" s="485"/>
      <c r="H82" s="485"/>
      <c r="I82" s="485"/>
      <c r="J82" s="485"/>
      <c r="K82" s="485"/>
      <c r="L82" s="510"/>
      <c r="M82" s="511"/>
      <c r="N82" s="878"/>
      <c r="O82" s="878"/>
      <c r="P82" s="40"/>
      <c r="Q82" s="439"/>
    </row>
    <row r="83" spans="1:17" s="102" customFormat="1" ht="15.75" thickBot="1">
      <c r="A83" s="370"/>
      <c r="B83" s="474"/>
      <c r="C83" s="491"/>
      <c r="D83" s="467"/>
      <c r="E83" s="467"/>
      <c r="F83" s="467"/>
      <c r="G83" s="467"/>
      <c r="H83" s="467"/>
      <c r="I83" s="467"/>
      <c r="J83" s="467"/>
      <c r="K83" s="467"/>
      <c r="L83" s="467"/>
      <c r="M83" s="468"/>
      <c r="N83" s="880"/>
      <c r="O83" s="880"/>
      <c r="P83" s="40"/>
      <c r="Q83" s="439"/>
    </row>
    <row r="84" spans="1:17" s="408" customFormat="1" ht="15.75" thickTop="1">
      <c r="A84" s="484"/>
      <c r="B84" s="469">
        <f>B27</f>
        <v>111</v>
      </c>
      <c r="C84" s="485"/>
      <c r="D84" s="485"/>
      <c r="E84" s="485"/>
      <c r="F84" s="485"/>
      <c r="G84" s="485"/>
      <c r="H84" s="485"/>
      <c r="I84" s="485"/>
      <c r="J84" s="485"/>
      <c r="K84" s="485"/>
      <c r="L84" s="510"/>
      <c r="M84" s="511"/>
      <c r="N84" s="881"/>
      <c r="O84" s="881"/>
      <c r="P84" s="489"/>
      <c r="Q84" s="490"/>
    </row>
    <row r="85" spans="1:17" s="408" customFormat="1" ht="15.75" thickBot="1">
      <c r="A85" s="484"/>
      <c r="B85" s="474"/>
      <c r="C85" s="491"/>
      <c r="D85" s="467"/>
      <c r="E85" s="467"/>
      <c r="F85" s="467"/>
      <c r="G85" s="467"/>
      <c r="H85" s="467"/>
      <c r="I85" s="467"/>
      <c r="J85" s="467"/>
      <c r="K85" s="467"/>
      <c r="L85" s="467"/>
      <c r="M85" s="468"/>
      <c r="N85" s="881"/>
      <c r="O85" s="881"/>
      <c r="P85" s="489"/>
      <c r="Q85" s="490"/>
    </row>
    <row r="86" spans="1:17" ht="15.75" thickTop="1">
      <c r="A86" s="367"/>
      <c r="B86" s="477">
        <f>B28</f>
        <v>111</v>
      </c>
      <c r="C86" s="31"/>
      <c r="D86" s="31"/>
      <c r="E86" s="31"/>
      <c r="F86" s="31"/>
      <c r="G86" s="517"/>
      <c r="H86" s="517"/>
      <c r="I86" s="517"/>
      <c r="J86" s="517"/>
      <c r="K86" s="518"/>
      <c r="L86" s="519"/>
      <c r="M86" s="520"/>
      <c r="N86" s="879"/>
      <c r="O86" s="879"/>
      <c r="P86" s="40"/>
      <c r="Q86" s="439"/>
    </row>
    <row r="87" spans="1:17" ht="15.7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7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5.75"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1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5.75" thickBot="1">
      <c r="A109" s="484"/>
      <c r="B109" s="466"/>
      <c r="C109" s="491"/>
      <c r="D109" s="467"/>
      <c r="E109" s="467"/>
      <c r="F109" s="467"/>
      <c r="G109" s="491"/>
      <c r="H109" s="493"/>
      <c r="I109" s="493"/>
      <c r="J109" s="493"/>
      <c r="K109" s="493"/>
      <c r="L109" s="493"/>
      <c r="M109" s="494"/>
      <c r="N109" s="881"/>
      <c r="O109" s="881"/>
      <c r="P109" s="489"/>
      <c r="Q109" s="490"/>
    </row>
    <row r="110" spans="1:17" ht="15" thickTop="1">
      <c r="A110" s="409"/>
      <c r="B110" s="469">
        <f>B39</f>
        <v>111</v>
      </c>
      <c r="C110" s="485"/>
      <c r="D110" s="485"/>
      <c r="E110" s="485"/>
      <c r="F110" s="485"/>
      <c r="G110" s="485"/>
      <c r="H110" s="486"/>
      <c r="I110" s="486"/>
      <c r="J110" s="486"/>
      <c r="K110" s="486"/>
      <c r="L110" s="487"/>
      <c r="M110" s="488"/>
      <c r="N110" s="879"/>
      <c r="O110" s="879"/>
      <c r="P110" s="40"/>
      <c r="Q110" s="439"/>
    </row>
    <row r="111" spans="1:17" ht="15.75" thickBot="1">
      <c r="A111" s="367"/>
      <c r="B111" s="474"/>
      <c r="C111" s="491"/>
      <c r="D111" s="467"/>
      <c r="E111" s="467"/>
      <c r="F111" s="467"/>
      <c r="G111" s="491"/>
      <c r="H111" s="493"/>
      <c r="I111" s="493"/>
      <c r="J111" s="493"/>
      <c r="K111" s="493"/>
      <c r="L111" s="493"/>
      <c r="M111" s="494"/>
      <c r="N111" s="880"/>
      <c r="O111" s="880"/>
      <c r="P111" s="40"/>
      <c r="Q111" s="439"/>
    </row>
    <row r="112" spans="1:17" ht="15" thickTop="1">
      <c r="A112" s="409"/>
      <c r="B112" s="477">
        <f>B40</f>
        <v>111</v>
      </c>
      <c r="C112" s="31"/>
      <c r="D112" s="31"/>
      <c r="E112" s="31"/>
      <c r="F112" s="31"/>
      <c r="G112" s="517"/>
      <c r="H112" s="517"/>
      <c r="I112" s="517"/>
      <c r="J112" s="517"/>
      <c r="K112" s="31"/>
      <c r="L112" s="457"/>
      <c r="M112" s="520"/>
      <c r="N112" s="879"/>
      <c r="O112" s="879"/>
      <c r="P112" s="40"/>
      <c r="Q112" s="439"/>
    </row>
    <row r="113" spans="1:17" ht="15.7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F7:F40 H7:H40 J7:J40">
    <cfRule type="cellIs" dxfId="88" priority="1" operator="notEqual">
      <formula>100</formula>
    </cfRule>
  </conditionalFormatting>
  <conditionalFormatting sqref="F42">
    <cfRule type="expression" dxfId="87" priority="4">
      <formula>$D$42="简单平均"</formula>
    </cfRule>
  </conditionalFormatting>
  <conditionalFormatting sqref="F46:F48 H46:H48">
    <cfRule type="containsText" dxfId="86" priority="17" stopIfTrue="1" operator="containsText" text="超过">
      <formula>NOT(ISERROR(SEARCH("超过",F46)))</formula>
    </cfRule>
  </conditionalFormatting>
  <conditionalFormatting sqref="G46">
    <cfRule type="expression" dxfId="85" priority="12" stopIfTrue="1">
      <formula>$H$46="超过30%"</formula>
    </cfRule>
  </conditionalFormatting>
  <conditionalFormatting sqref="G47">
    <cfRule type="expression" dxfId="84" priority="11" stopIfTrue="1">
      <formula>$H$47="超过20%"</formula>
    </cfRule>
  </conditionalFormatting>
  <conditionalFormatting sqref="G48">
    <cfRule type="expression" dxfId="83" priority="13" stopIfTrue="1">
      <formula>$H$48="超过30%"</formula>
    </cfRule>
  </conditionalFormatting>
  <conditionalFormatting sqref="H42">
    <cfRule type="expression" dxfId="82" priority="3">
      <formula>$D$42="简单平均"</formula>
    </cfRule>
  </conditionalFormatting>
  <conditionalFormatting sqref="I46">
    <cfRule type="expression" dxfId="81" priority="7" stopIfTrue="1">
      <formula>$J$46="超过30%"</formula>
    </cfRule>
  </conditionalFormatting>
  <conditionalFormatting sqref="I47">
    <cfRule type="expression" dxfId="80" priority="6" stopIfTrue="1">
      <formula>$J$47="超过20%"</formula>
    </cfRule>
  </conditionalFormatting>
  <conditionalFormatting sqref="I48">
    <cfRule type="expression" dxfId="79" priority="5" stopIfTrue="1">
      <formula>$J$48="超过30%"</formula>
    </cfRule>
  </conditionalFormatting>
  <conditionalFormatting sqref="J42">
    <cfRule type="expression" dxfId="78" priority="2">
      <formula>$D$42="简单平均"</formula>
    </cfRule>
  </conditionalFormatting>
  <conditionalFormatting sqref="J46:J48">
    <cfRule type="containsText" dxfId="77"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5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5"/>
      <c r="M4" s="2486"/>
      <c r="N4" s="2486"/>
      <c r="O4" s="2486"/>
      <c r="P4" s="3416" t="s">
        <v>1775</v>
      </c>
      <c r="Q4" s="3417"/>
      <c r="R4" s="3398" t="s">
        <v>1771</v>
      </c>
      <c r="S4" s="3399"/>
      <c r="T4" s="3398" t="s">
        <v>1772</v>
      </c>
      <c r="U4" s="3399"/>
      <c r="V4" s="3424" t="s">
        <v>1773</v>
      </c>
      <c r="W4" s="3424"/>
      <c r="X4" s="1265"/>
      <c r="Y4" s="3398" t="s">
        <v>1775</v>
      </c>
      <c r="Z4" s="3399"/>
      <c r="AA4" s="3393" t="s">
        <v>1771</v>
      </c>
      <c r="AB4" s="3394" t="s">
        <v>1772</v>
      </c>
      <c r="AC4" s="3393" t="s">
        <v>1773</v>
      </c>
    </row>
    <row r="5" spans="1:29" ht="15">
      <c r="A5" s="348"/>
      <c r="B5" s="349"/>
      <c r="C5" s="3408" t="s">
        <v>1673</v>
      </c>
      <c r="D5" s="3405"/>
      <c r="E5" s="3402" t="s">
        <v>1674</v>
      </c>
      <c r="F5" s="3403"/>
      <c r="G5" s="3408" t="s">
        <v>1675</v>
      </c>
      <c r="H5" s="3405"/>
      <c r="I5" s="3408" t="s">
        <v>1676</v>
      </c>
      <c r="J5" s="3405"/>
      <c r="K5" s="537"/>
      <c r="L5" s="2485"/>
      <c r="M5" s="2486"/>
      <c r="N5" s="2486"/>
      <c r="O5" s="2486"/>
      <c r="P5" s="3418"/>
      <c r="Q5" s="3419"/>
      <c r="R5" s="3400"/>
      <c r="S5" s="3401"/>
      <c r="T5" s="3400"/>
      <c r="U5" s="3401"/>
      <c r="V5" s="3424"/>
      <c r="W5" s="3424"/>
      <c r="X5" s="1265"/>
      <c r="Y5" s="3400"/>
      <c r="Z5" s="3401"/>
      <c r="AA5" s="3394"/>
      <c r="AB5" s="3394"/>
      <c r="AC5" s="3394"/>
    </row>
    <row r="6" spans="1:29" ht="15.75" thickBot="1">
      <c r="A6" s="350"/>
      <c r="B6" s="351"/>
      <c r="C6" s="3406" t="s">
        <v>1677</v>
      </c>
      <c r="D6" s="3407"/>
      <c r="E6" s="3409" t="s">
        <v>1677</v>
      </c>
      <c r="F6" s="3410"/>
      <c r="G6" s="3406" t="s">
        <v>1677</v>
      </c>
      <c r="H6" s="3407"/>
      <c r="I6" s="3406" t="s">
        <v>1677</v>
      </c>
      <c r="J6" s="3407"/>
      <c r="K6" s="537" t="s">
        <v>1678</v>
      </c>
      <c r="L6" s="2485"/>
      <c r="M6" s="2486"/>
      <c r="N6" s="2486"/>
      <c r="O6" s="2486"/>
      <c r="P6" s="3420"/>
      <c r="Q6" s="3421"/>
      <c r="R6" s="3400"/>
      <c r="S6" s="3401"/>
      <c r="T6" s="3422"/>
      <c r="U6" s="3423"/>
      <c r="V6" s="3424"/>
      <c r="W6" s="3424"/>
      <c r="X6" s="1265"/>
      <c r="Y6" s="3422"/>
      <c r="Z6" s="3423"/>
      <c r="AA6" s="3395"/>
      <c r="AB6" s="3395"/>
      <c r="AC6" s="3395"/>
    </row>
    <row r="7" spans="1:29" s="102" customFormat="1" ht="15.75" thickBot="1">
      <c r="A7" s="352" t="s">
        <v>1679</v>
      </c>
      <c r="B7" s="353"/>
      <c r="C7" s="354">
        <f>'数据-取费表'!B2</f>
        <v>46015</v>
      </c>
      <c r="D7" s="355">
        <v>100</v>
      </c>
      <c r="E7" s="356"/>
      <c r="F7" s="357">
        <f>SUMIF(48:48,YEAR(E7)&amp;"-"&amp;MONTH(E7),49:49)</f>
        <v>0</v>
      </c>
      <c r="G7" s="356"/>
      <c r="H7" s="355">
        <f>SUMIF(48:48,YEAR(G7)&amp;"-"&amp;MONTH(G7),49:49)</f>
        <v>0</v>
      </c>
      <c r="I7" s="356"/>
      <c r="J7" s="355">
        <f>SUMIF(48:48,YEAR(I7)&amp;"-"&amp;MONTH(I7),49:49)</f>
        <v>0</v>
      </c>
      <c r="K7" s="38"/>
      <c r="L7" s="2487"/>
      <c r="M7" s="2438"/>
      <c r="N7" s="2438"/>
      <c r="O7" s="2438"/>
      <c r="P7" s="3396" t="s">
        <v>1680</v>
      </c>
      <c r="Q7" s="3425"/>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8"/>
      <c r="N9" s="2438"/>
      <c r="O9" s="2438"/>
      <c r="P9" s="3429"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7">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29"/>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29"/>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8"/>
      <c r="N12" s="2438"/>
      <c r="O12" s="2438"/>
      <c r="P12" s="3429"/>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29"/>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45" t="s">
        <v>1690</v>
      </c>
      <c r="B14" s="554" t="s">
        <v>1833</v>
      </c>
      <c r="C14" s="1817"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30" t="s">
        <v>1691</v>
      </c>
      <c r="Q14" s="1263" t="str">
        <f t="shared" si="6"/>
        <v>交通便捷度</v>
      </c>
      <c r="R14" s="667" t="s">
        <v>14</v>
      </c>
      <c r="S14" s="668">
        <f t="shared" si="0"/>
        <v>100</v>
      </c>
      <c r="T14" s="667" t="s">
        <v>14</v>
      </c>
      <c r="U14" s="668">
        <f t="shared" si="1"/>
        <v>100</v>
      </c>
      <c r="V14" s="667" t="s">
        <v>14</v>
      </c>
      <c r="W14" s="668">
        <f t="shared" si="2"/>
        <v>100</v>
      </c>
      <c r="X14" s="1265"/>
      <c r="Y14" s="3430"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431"/>
      <c r="Q15" s="1263"/>
      <c r="R15" s="667"/>
      <c r="S15" s="668"/>
      <c r="T15" s="667"/>
      <c r="U15" s="668"/>
      <c r="V15" s="667"/>
      <c r="W15" s="668"/>
      <c r="X15" s="1265"/>
      <c r="Y15" s="3431"/>
      <c r="Z15" s="1264"/>
      <c r="AA15" s="1264">
        <v>1</v>
      </c>
      <c r="AB15" s="1264">
        <v>1</v>
      </c>
      <c r="AC15" s="1264">
        <v>1</v>
      </c>
    </row>
    <row r="16" spans="1:29" ht="42.75">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431"/>
      <c r="Q17" s="1263"/>
      <c r="R17" s="667"/>
      <c r="S17" s="668"/>
      <c r="T17" s="667"/>
      <c r="U17" s="668"/>
      <c r="V17" s="667"/>
      <c r="W17" s="668"/>
      <c r="X17" s="1265"/>
      <c r="Y17" s="3431"/>
      <c r="Z17" s="1264"/>
      <c r="AA17" s="1264">
        <v>1</v>
      </c>
      <c r="AB17" s="1264">
        <v>1</v>
      </c>
      <c r="AC17" s="1264">
        <v>1</v>
      </c>
    </row>
    <row r="18" spans="1:29" ht="28.5">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431"/>
      <c r="Q19" s="1263"/>
      <c r="R19" s="667"/>
      <c r="S19" s="668"/>
      <c r="T19" s="667"/>
      <c r="U19" s="668"/>
      <c r="V19" s="667"/>
      <c r="W19" s="668"/>
      <c r="X19" s="1265"/>
      <c r="Y19" s="3431"/>
      <c r="Z19" s="1264"/>
      <c r="AA19" s="1264">
        <v>1</v>
      </c>
      <c r="AB19" s="1264">
        <v>1</v>
      </c>
      <c r="AC19" s="1264">
        <v>1</v>
      </c>
    </row>
    <row r="20" spans="1:29" ht="57">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431"/>
      <c r="Q21" s="1263"/>
      <c r="R21" s="667"/>
      <c r="S21" s="668"/>
      <c r="T21" s="667"/>
      <c r="U21" s="668"/>
      <c r="V21" s="667"/>
      <c r="W21" s="668"/>
      <c r="X21" s="1265"/>
      <c r="Y21" s="3431"/>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31"/>
      <c r="Q24" s="1263">
        <f t="shared" ref="Q24:Q36"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75"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8"/>
      <c r="N25" s="2438"/>
      <c r="O25" s="2438"/>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28.5">
      <c r="A26" s="574" t="s">
        <v>1694</v>
      </c>
      <c r="B26" s="59" t="s">
        <v>1836</v>
      </c>
      <c r="C26" s="1818"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35"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35"/>
      <c r="Q27" s="531" t="str">
        <f t="shared" si="11"/>
        <v>项目停车位配比</v>
      </c>
      <c r="R27" s="669" t="s">
        <v>14</v>
      </c>
      <c r="S27" s="670">
        <f t="shared" si="12"/>
        <v>100</v>
      </c>
      <c r="T27" s="669" t="s">
        <v>14</v>
      </c>
      <c r="U27" s="670">
        <f t="shared" si="13"/>
        <v>100</v>
      </c>
      <c r="V27" s="669" t="s">
        <v>14</v>
      </c>
      <c r="W27" s="670">
        <f t="shared" si="14"/>
        <v>100</v>
      </c>
      <c r="X27" s="671"/>
      <c r="Y27" s="3435"/>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35"/>
      <c r="Q28" s="1263" t="str">
        <f t="shared" si="11"/>
        <v>公共部分装修</v>
      </c>
      <c r="R28" s="667" t="s">
        <v>14</v>
      </c>
      <c r="S28" s="668">
        <f t="shared" si="12"/>
        <v>100</v>
      </c>
      <c r="T28" s="667" t="s">
        <v>14</v>
      </c>
      <c r="U28" s="668">
        <f t="shared" si="13"/>
        <v>100</v>
      </c>
      <c r="V28" s="667" t="s">
        <v>14</v>
      </c>
      <c r="W28" s="668">
        <f t="shared" si="14"/>
        <v>100</v>
      </c>
      <c r="X28" s="1265"/>
      <c r="Y28" s="3435"/>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35"/>
      <c r="Q29" s="1263" t="str">
        <f t="shared" si="11"/>
        <v>成新率</v>
      </c>
      <c r="R29" s="667" t="s">
        <v>14</v>
      </c>
      <c r="S29" s="668" t="e">
        <f t="shared" si="12"/>
        <v>#N/A</v>
      </c>
      <c r="T29" s="667" t="s">
        <v>14</v>
      </c>
      <c r="U29" s="668" t="e">
        <f t="shared" si="13"/>
        <v>#N/A</v>
      </c>
      <c r="V29" s="667" t="s">
        <v>14</v>
      </c>
      <c r="W29" s="668" t="e">
        <f t="shared" si="14"/>
        <v>#N/A</v>
      </c>
      <c r="X29" s="1265"/>
      <c r="Y29" s="3435"/>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35"/>
      <c r="Q30" s="1263" t="str">
        <f t="shared" si="11"/>
        <v>物业等级</v>
      </c>
      <c r="R30" s="667" t="s">
        <v>14</v>
      </c>
      <c r="S30" s="668">
        <f t="shared" si="12"/>
        <v>100</v>
      </c>
      <c r="T30" s="667" t="s">
        <v>14</v>
      </c>
      <c r="U30" s="668">
        <f t="shared" si="13"/>
        <v>100</v>
      </c>
      <c r="V30" s="667" t="s">
        <v>14</v>
      </c>
      <c r="W30" s="668">
        <f t="shared" si="14"/>
        <v>100</v>
      </c>
      <c r="X30" s="1265"/>
      <c r="Y30" s="3435"/>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8"/>
      <c r="N31" s="2438"/>
      <c r="O31" s="2438"/>
      <c r="P31" s="3435"/>
      <c r="Q31" s="530" t="str">
        <f t="shared" si="11"/>
        <v>停车位面积</v>
      </c>
      <c r="R31" s="664" t="s">
        <v>14</v>
      </c>
      <c r="S31" s="665" t="e">
        <f t="shared" si="12"/>
        <v>#N/A</v>
      </c>
      <c r="T31" s="664" t="s">
        <v>14</v>
      </c>
      <c r="U31" s="665" t="e">
        <f t="shared" si="13"/>
        <v>#N/A</v>
      </c>
      <c r="V31" s="664" t="s">
        <v>14</v>
      </c>
      <c r="W31" s="665" t="e">
        <f t="shared" si="14"/>
        <v>#N/A</v>
      </c>
      <c r="X31" s="666"/>
      <c r="Y31" s="3435"/>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35" t="s">
        <v>1696</v>
      </c>
      <c r="Q32" s="1263" t="str">
        <f t="shared" si="11"/>
        <v>车位类型</v>
      </c>
      <c r="R32" s="667" t="s">
        <v>14</v>
      </c>
      <c r="S32" s="668">
        <f t="shared" si="12"/>
        <v>100</v>
      </c>
      <c r="T32" s="667" t="s">
        <v>14</v>
      </c>
      <c r="U32" s="668">
        <f t="shared" si="13"/>
        <v>100</v>
      </c>
      <c r="V32" s="667" t="s">
        <v>14</v>
      </c>
      <c r="W32" s="668">
        <f t="shared" si="14"/>
        <v>100</v>
      </c>
      <c r="X32" s="1265"/>
      <c r="Y32" s="3435"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35"/>
      <c r="Q33" s="1263" t="str">
        <f t="shared" si="11"/>
        <v>是否直接入户</v>
      </c>
      <c r="R33" s="667" t="s">
        <v>14</v>
      </c>
      <c r="S33" s="668">
        <f t="shared" si="12"/>
        <v>100</v>
      </c>
      <c r="T33" s="667" t="s">
        <v>14</v>
      </c>
      <c r="U33" s="668">
        <f t="shared" si="13"/>
        <v>100</v>
      </c>
      <c r="V33" s="667" t="s">
        <v>14</v>
      </c>
      <c r="W33" s="668">
        <f t="shared" si="14"/>
        <v>100</v>
      </c>
      <c r="X33" s="1265"/>
      <c r="Y33" s="3435"/>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35"/>
      <c r="Q35" s="531">
        <f t="shared" si="11"/>
        <v>111</v>
      </c>
      <c r="R35" s="669" t="s">
        <v>14</v>
      </c>
      <c r="S35" s="670">
        <f t="shared" si="12"/>
        <v>100</v>
      </c>
      <c r="T35" s="669" t="s">
        <v>14</v>
      </c>
      <c r="U35" s="670">
        <f t="shared" si="13"/>
        <v>100</v>
      </c>
      <c r="V35" s="669" t="s">
        <v>14</v>
      </c>
      <c r="W35" s="670">
        <f t="shared" si="14"/>
        <v>100</v>
      </c>
      <c r="X35" s="671"/>
      <c r="Y35" s="3435"/>
      <c r="Z35" s="672">
        <f t="shared" si="15"/>
        <v>111</v>
      </c>
      <c r="AA35" s="1264">
        <f t="shared" si="3"/>
        <v>1</v>
      </c>
      <c r="AB35" s="1264">
        <f t="shared" si="4"/>
        <v>1</v>
      </c>
      <c r="AC35" s="1264">
        <f t="shared" si="5"/>
        <v>1</v>
      </c>
    </row>
    <row r="36" spans="1:29" ht="15.75"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35"/>
      <c r="Q36" s="1263">
        <f t="shared" si="11"/>
        <v>111</v>
      </c>
      <c r="R36" s="667" t="s">
        <v>14</v>
      </c>
      <c r="S36" s="668">
        <f t="shared" si="12"/>
        <v>100</v>
      </c>
      <c r="T36" s="667" t="s">
        <v>14</v>
      </c>
      <c r="U36" s="668">
        <f t="shared" si="13"/>
        <v>100</v>
      </c>
      <c r="V36" s="667" t="s">
        <v>14</v>
      </c>
      <c r="W36" s="668">
        <f t="shared" si="14"/>
        <v>100</v>
      </c>
      <c r="X36" s="1265"/>
      <c r="Y36" s="3435"/>
      <c r="Z36" s="1264">
        <f t="shared" si="15"/>
        <v>111</v>
      </c>
      <c r="AA36" s="1264">
        <f t="shared" si="3"/>
        <v>1</v>
      </c>
      <c r="AB36" s="1264">
        <f t="shared" si="4"/>
        <v>1</v>
      </c>
      <c r="AC36" s="1264">
        <f t="shared" si="5"/>
        <v>1</v>
      </c>
    </row>
    <row r="37" spans="1:29" ht="15">
      <c r="A37" s="416" t="s">
        <v>1844</v>
      </c>
      <c r="B37" s="1819" t="s">
        <v>3352</v>
      </c>
      <c r="C37" s="1081" t="s">
        <v>0</v>
      </c>
      <c r="D37" s="418"/>
      <c r="E37" s="419"/>
      <c r="F37" s="420"/>
      <c r="G37" s="421"/>
      <c r="H37" s="422"/>
      <c r="I37" s="419"/>
      <c r="J37" s="422"/>
      <c r="K37" s="545"/>
      <c r="L37" s="2493"/>
      <c r="M37" s="2486"/>
      <c r="N37" s="2486"/>
      <c r="O37" s="2486"/>
      <c r="P37" s="3429" t="str">
        <f>A37</f>
        <v>成交单价</v>
      </c>
      <c r="Q37" s="3429"/>
      <c r="R37" s="3424">
        <f>E37</f>
        <v>0</v>
      </c>
      <c r="S37" s="3424"/>
      <c r="T37" s="3424">
        <f>G37</f>
        <v>0</v>
      </c>
      <c r="U37" s="3424"/>
      <c r="V37" s="3424">
        <f>I37</f>
        <v>0</v>
      </c>
      <c r="W37" s="3424"/>
      <c r="X37" s="385"/>
      <c r="Y37" s="673"/>
      <c r="Z37" s="385"/>
      <c r="AA37" s="385"/>
      <c r="AB37" s="385"/>
      <c r="AC37" s="385"/>
    </row>
    <row r="38" spans="1:29" ht="15.75" thickBot="1">
      <c r="A38" s="423" t="s">
        <v>1845</v>
      </c>
      <c r="B38" s="424" t="str">
        <f>B37</f>
        <v>元/平方米</v>
      </c>
      <c r="C38" s="1082" t="e">
        <f>R39</f>
        <v>#DIV/0!</v>
      </c>
      <c r="D38" s="2139" t="s">
        <v>2138</v>
      </c>
      <c r="E38" s="1083" t="e">
        <f>R38</f>
        <v>#DIV/0!</v>
      </c>
      <c r="F38" s="2140"/>
      <c r="G38" s="1082" t="e">
        <f>T38</f>
        <v>#DIV/0!</v>
      </c>
      <c r="H38" s="2140"/>
      <c r="I38" s="1083" t="e">
        <f>V38</f>
        <v>#DIV/0!</v>
      </c>
      <c r="J38" s="2140"/>
      <c r="K38" s="2142">
        <f>F38+H38+J38</f>
        <v>0</v>
      </c>
      <c r="L38" s="2493"/>
      <c r="M38" s="2486"/>
      <c r="N38" s="2486"/>
      <c r="O38" s="2486"/>
      <c r="P38" s="3429" t="str">
        <f>A38</f>
        <v>比较价值（元/平方米）</v>
      </c>
      <c r="Q38" s="3429"/>
      <c r="R38" s="3424" t="e">
        <f>IF(F1="售价",ROUND(PRODUCT(R37,AA7:AA36),0),ROUND(PRODUCT(R37,AA7:AA36),1))</f>
        <v>#DIV/0!</v>
      </c>
      <c r="S38" s="3424"/>
      <c r="T38" s="3424" t="e">
        <f>IF(F1="售价",ROUND(PRODUCT(T37,AB7:AB36),0),ROUND(PRODUCT(T37,AB7:AB36),1))</f>
        <v>#DIV/0!</v>
      </c>
      <c r="U38" s="3424"/>
      <c r="V38" s="3424" t="e">
        <f>IF(F1="售价",ROUND(PRODUCT(V37,AC7:AC36),0),ROUND(PRODUCT(V37,AC7:AC36),1))</f>
        <v>#DIV/0!</v>
      </c>
      <c r="W38" s="3424"/>
      <c r="X38" s="385"/>
      <c r="Y38" s="385"/>
      <c r="Z38" s="385"/>
      <c r="AA38" s="385"/>
      <c r="AB38" s="385"/>
      <c r="AC38" s="385"/>
    </row>
    <row r="39" spans="1:29" ht="15.75" thickBot="1">
      <c r="A39" s="427" t="s">
        <v>1846</v>
      </c>
      <c r="B39" s="428"/>
      <c r="C39" s="351" t="e">
        <f>R39</f>
        <v>#DIV/0!</v>
      </c>
      <c r="D39" s="351"/>
      <c r="E39" s="351"/>
      <c r="F39" s="351"/>
      <c r="G39" s="351"/>
      <c r="H39" s="351"/>
      <c r="I39" s="351"/>
      <c r="J39" s="351"/>
      <c r="K39" s="546"/>
      <c r="L39" s="2493"/>
      <c r="M39" s="2486"/>
      <c r="N39" s="2486"/>
      <c r="O39" s="2486"/>
      <c r="P39" s="3426" t="str">
        <f>A39</f>
        <v>估价对象XX用房的比较价值（楼面单价，元/平方米）</v>
      </c>
      <c r="Q39" s="3427"/>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7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5">
      <c r="A48" s="440" t="s">
        <v>1851</v>
      </c>
      <c r="B48" s="441"/>
      <c r="C48" s="1103" t="str">
        <f>YEAR(C7)&amp;"-"&amp;MONTH(C7)</f>
        <v>2025-12</v>
      </c>
      <c r="D48" s="1104">
        <f>EDATE(C48,-1)</f>
        <v>45962</v>
      </c>
      <c r="E48" s="1104">
        <f t="shared" ref="E48:O48" si="16">EDATE(D48,-1)</f>
        <v>45931</v>
      </c>
      <c r="F48" s="1104">
        <f t="shared" si="16"/>
        <v>45901</v>
      </c>
      <c r="G48" s="1104">
        <f t="shared" si="16"/>
        <v>45870</v>
      </c>
      <c r="H48" s="1104">
        <f t="shared" si="16"/>
        <v>45839</v>
      </c>
      <c r="I48" s="1104">
        <f t="shared" si="16"/>
        <v>45809</v>
      </c>
      <c r="J48" s="1104">
        <f t="shared" si="16"/>
        <v>45778</v>
      </c>
      <c r="K48" s="1104">
        <f t="shared" si="16"/>
        <v>45748</v>
      </c>
      <c r="L48" s="1104">
        <f t="shared" si="16"/>
        <v>45717</v>
      </c>
      <c r="M48" s="1104">
        <f t="shared" si="16"/>
        <v>45689</v>
      </c>
      <c r="N48" s="1104">
        <f t="shared" si="16"/>
        <v>45658</v>
      </c>
      <c r="O48" s="1104">
        <f t="shared" si="16"/>
        <v>45627</v>
      </c>
      <c r="P48" s="2526"/>
      <c r="Q48" s="2509"/>
      <c r="R48" s="2509"/>
      <c r="S48" s="2509"/>
      <c r="T48" s="2509"/>
      <c r="U48" s="2509"/>
      <c r="V48" s="2509"/>
      <c r="W48" s="2509"/>
      <c r="X48" s="2509"/>
      <c r="Y48" s="2509"/>
      <c r="Z48" s="2509"/>
      <c r="AA48" s="2509"/>
      <c r="AB48" s="2509"/>
      <c r="AC48" s="2509"/>
    </row>
    <row r="49" spans="1:29" s="102" customFormat="1" ht="15">
      <c r="A49" s="443"/>
      <c r="B49" s="444"/>
      <c r="C49" s="1097">
        <v>100</v>
      </c>
      <c r="D49" s="446"/>
      <c r="E49" s="446"/>
      <c r="F49" s="446"/>
      <c r="G49" s="446"/>
      <c r="H49" s="446"/>
      <c r="I49" s="446"/>
      <c r="J49" s="446"/>
      <c r="K49" s="446"/>
      <c r="L49" s="446"/>
      <c r="M49" s="447"/>
      <c r="N49" s="446"/>
      <c r="O49" s="447"/>
      <c r="P49" s="2527"/>
      <c r="Q49" s="2438"/>
      <c r="R49" s="2438"/>
      <c r="S49" s="2438"/>
      <c r="T49" s="2438"/>
      <c r="U49" s="2438"/>
      <c r="V49" s="2438"/>
      <c r="W49" s="2438"/>
      <c r="X49" s="2438"/>
      <c r="Y49" s="2438"/>
      <c r="Z49" s="2438"/>
      <c r="AA49" s="2438"/>
      <c r="AB49" s="2438"/>
      <c r="AC49" s="2438"/>
    </row>
    <row r="50" spans="1:29" s="102" customFormat="1" ht="15.75" thickBot="1">
      <c r="A50" s="449" t="s">
        <v>1716</v>
      </c>
      <c r="B50" s="450"/>
      <c r="C50" s="451"/>
      <c r="D50" s="452"/>
      <c r="E50" s="452"/>
      <c r="F50" s="452"/>
      <c r="G50" s="452"/>
      <c r="H50" s="452"/>
      <c r="I50" s="452"/>
      <c r="J50" s="452"/>
      <c r="K50" s="452"/>
      <c r="L50" s="452"/>
      <c r="M50" s="453"/>
      <c r="N50" s="452"/>
      <c r="O50" s="453"/>
      <c r="P50" s="2527"/>
      <c r="Q50" s="2507"/>
      <c r="R50" s="2438"/>
      <c r="S50" s="2438"/>
      <c r="T50" s="2438"/>
      <c r="U50" s="2438"/>
      <c r="V50" s="2438"/>
      <c r="W50" s="2438"/>
      <c r="X50" s="2438"/>
      <c r="Y50" s="2438"/>
      <c r="Z50" s="2438"/>
      <c r="AA50" s="2438"/>
      <c r="AB50" s="2438"/>
      <c r="AC50" s="2438"/>
    </row>
    <row r="51" spans="1:29" s="102" customFormat="1" ht="15">
      <c r="A51" s="455" t="s">
        <v>1681</v>
      </c>
      <c r="B51" s="444"/>
      <c r="C51" s="456" t="s">
        <v>1776</v>
      </c>
      <c r="D51" s="31"/>
      <c r="E51" s="31"/>
      <c r="F51" s="31"/>
      <c r="G51" s="31"/>
      <c r="H51" s="31"/>
      <c r="I51" s="31"/>
      <c r="J51" s="31"/>
      <c r="K51" s="31"/>
      <c r="L51" s="457"/>
      <c r="M51" s="458"/>
      <c r="N51" s="2519"/>
      <c r="O51" s="2519"/>
      <c r="P51" s="2528"/>
      <c r="Q51" s="2507"/>
      <c r="R51" s="2438"/>
      <c r="S51" s="2438"/>
      <c r="T51" s="2438"/>
      <c r="U51" s="2438"/>
      <c r="V51" s="2438"/>
      <c r="W51" s="2438"/>
      <c r="X51" s="2438"/>
      <c r="Y51" s="2438"/>
      <c r="Z51" s="2438"/>
      <c r="AA51" s="2438"/>
      <c r="AB51" s="2438"/>
      <c r="AC51" s="2438"/>
    </row>
    <row r="52" spans="1:29" s="102" customFormat="1" ht="15.75" thickBot="1">
      <c r="A52" s="455"/>
      <c r="B52" s="444"/>
      <c r="C52" s="563">
        <v>100</v>
      </c>
      <c r="D52" s="446"/>
      <c r="E52" s="446"/>
      <c r="F52" s="446"/>
      <c r="G52" s="446"/>
      <c r="H52" s="446"/>
      <c r="I52" s="446"/>
      <c r="J52" s="446"/>
      <c r="K52" s="446"/>
      <c r="L52" s="446"/>
      <c r="M52" s="448"/>
      <c r="N52" s="2519"/>
      <c r="O52" s="2519"/>
      <c r="P52" s="2527"/>
      <c r="Q52" s="2507"/>
      <c r="R52" s="2438"/>
      <c r="S52" s="2438"/>
      <c r="T52" s="2438"/>
      <c r="U52" s="2438"/>
      <c r="V52" s="2438"/>
      <c r="W52" s="2438"/>
      <c r="X52" s="2438"/>
      <c r="Y52" s="2438"/>
      <c r="Z52" s="2438"/>
      <c r="AA52" s="2438"/>
      <c r="AB52" s="2438"/>
      <c r="AC52" s="2438"/>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5.7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7.7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5.7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5.7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5.7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5.7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5.7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5.7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5.7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7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7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5.7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7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7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5.75" thickTop="1">
      <c r="A73" s="370"/>
      <c r="B73" s="469">
        <f>B23</f>
        <v>111</v>
      </c>
      <c r="C73" s="480"/>
      <c r="D73" s="480"/>
      <c r="E73" s="480"/>
      <c r="F73" s="480"/>
      <c r="G73" s="485"/>
      <c r="H73" s="485"/>
      <c r="I73" s="485"/>
      <c r="J73" s="485"/>
      <c r="K73" s="485"/>
      <c r="L73" s="510"/>
      <c r="M73" s="511"/>
      <c r="N73" s="2519"/>
      <c r="O73" s="2519"/>
      <c r="P73" s="2529"/>
      <c r="Q73" s="2507"/>
      <c r="R73" s="2438"/>
      <c r="S73" s="2438"/>
      <c r="T73" s="2438"/>
      <c r="U73" s="2438"/>
      <c r="V73" s="2438"/>
      <c r="W73" s="2438"/>
      <c r="X73" s="2438"/>
      <c r="Y73" s="2438"/>
      <c r="Z73" s="2438"/>
      <c r="AA73" s="2438"/>
      <c r="AB73" s="2438"/>
      <c r="AC73" s="2438"/>
    </row>
    <row r="74" spans="1:29" s="102" customFormat="1" ht="15.75" thickBot="1">
      <c r="A74" s="370"/>
      <c r="B74" s="474"/>
      <c r="C74" s="491"/>
      <c r="D74" s="467"/>
      <c r="E74" s="467"/>
      <c r="F74" s="467"/>
      <c r="G74" s="467"/>
      <c r="H74" s="467"/>
      <c r="I74" s="467"/>
      <c r="J74" s="467"/>
      <c r="K74" s="467"/>
      <c r="L74" s="467"/>
      <c r="M74" s="468"/>
      <c r="N74" s="2521"/>
      <c r="O74" s="2521"/>
      <c r="P74" s="2529"/>
      <c r="Q74" s="2507"/>
      <c r="R74" s="2438"/>
      <c r="S74" s="2438"/>
      <c r="T74" s="2438"/>
      <c r="U74" s="2438"/>
      <c r="V74" s="2438"/>
      <c r="W74" s="2438"/>
      <c r="X74" s="2438"/>
      <c r="Y74" s="2438"/>
      <c r="Z74" s="2438"/>
      <c r="AA74" s="2438"/>
      <c r="AB74" s="2438"/>
      <c r="AC74" s="2438"/>
    </row>
    <row r="75" spans="1:29" s="102" customFormat="1" ht="15.75" thickTop="1">
      <c r="A75" s="370"/>
      <c r="B75" s="469">
        <f>B24</f>
        <v>111</v>
      </c>
      <c r="C75" s="480"/>
      <c r="D75" s="480"/>
      <c r="E75" s="480"/>
      <c r="F75" s="480"/>
      <c r="G75" s="485"/>
      <c r="H75" s="485"/>
      <c r="I75" s="485"/>
      <c r="J75" s="485"/>
      <c r="K75" s="485"/>
      <c r="L75" s="485"/>
      <c r="M75" s="511"/>
      <c r="N75" s="2519"/>
      <c r="O75" s="2519"/>
      <c r="P75" s="2529"/>
      <c r="Q75" s="2507"/>
      <c r="R75" s="2438"/>
      <c r="S75" s="2438"/>
      <c r="T75" s="2438"/>
      <c r="U75" s="2438"/>
      <c r="V75" s="2438"/>
      <c r="W75" s="2438"/>
      <c r="X75" s="2438"/>
      <c r="Y75" s="2438"/>
      <c r="Z75" s="2438"/>
      <c r="AA75" s="2438"/>
      <c r="AB75" s="2438"/>
      <c r="AC75" s="2438"/>
    </row>
    <row r="76" spans="1:29" s="102" customFormat="1" ht="15.75" thickBot="1">
      <c r="A76" s="370"/>
      <c r="B76" s="474"/>
      <c r="C76" s="491"/>
      <c r="D76" s="467"/>
      <c r="E76" s="467"/>
      <c r="F76" s="467"/>
      <c r="G76" s="467"/>
      <c r="H76" s="467"/>
      <c r="I76" s="467"/>
      <c r="J76" s="467"/>
      <c r="K76" s="467"/>
      <c r="L76" s="467"/>
      <c r="M76" s="468"/>
      <c r="N76" s="2521"/>
      <c r="O76" s="2521"/>
      <c r="P76" s="2529"/>
      <c r="Q76" s="2507"/>
      <c r="R76" s="2438"/>
      <c r="S76" s="2438"/>
      <c r="T76" s="2438"/>
      <c r="U76" s="2438"/>
      <c r="V76" s="2438"/>
      <c r="W76" s="2438"/>
      <c r="X76" s="2438"/>
      <c r="Y76" s="2438"/>
      <c r="Z76" s="2438"/>
      <c r="AA76" s="2438"/>
      <c r="AB76" s="2438"/>
      <c r="AC76" s="2438"/>
    </row>
    <row r="77" spans="1:29" s="408" customFormat="1" ht="15.7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5.7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7.7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7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5.7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5.7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5.7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5.7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76" priority="13" stopIfTrue="1">
      <formula>$F$42="超过30%"</formula>
    </cfRule>
  </conditionalFormatting>
  <conditionalFormatting sqref="E43">
    <cfRule type="expression" dxfId="75" priority="11" stopIfTrue="1">
      <formula>$F$43="超过20%"</formula>
    </cfRule>
  </conditionalFormatting>
  <conditionalFormatting sqref="E44">
    <cfRule type="expression" dxfId="74" priority="10" stopIfTrue="1">
      <formula>$F$44="超过30%"</formula>
    </cfRule>
  </conditionalFormatting>
  <conditionalFormatting sqref="F7:F36 H7:H36 J7:J36">
    <cfRule type="cellIs" dxfId="73" priority="1" operator="notEqual">
      <formula>100</formula>
    </cfRule>
  </conditionalFormatting>
  <conditionalFormatting sqref="F38">
    <cfRule type="expression" dxfId="72" priority="4">
      <formula>$D$38="简单平均"</formula>
    </cfRule>
  </conditionalFormatting>
  <conditionalFormatting sqref="F42:F44 H42:H44 J42:J44">
    <cfRule type="containsText" dxfId="71" priority="14" stopIfTrue="1" operator="containsText" text="超过">
      <formula>NOT(ISERROR(SEARCH("超过",F42)))</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G44">
    <cfRule type="expression" dxfId="68" priority="12" stopIfTrue="1">
      <formula>$H$54+$H$44="超过30%"</formula>
    </cfRule>
  </conditionalFormatting>
  <conditionalFormatting sqref="H38">
    <cfRule type="expression" dxfId="67" priority="3">
      <formula>$D$38="简单平均"</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J38">
    <cfRule type="expression" dxfId="63"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2" customWidth="1"/>
    <col min="2" max="16384" width="9" style="642"/>
  </cols>
  <sheetData>
    <row r="1" spans="1:1" ht="23.25">
      <c r="A1" s="1380" t="s">
        <v>898</v>
      </c>
    </row>
    <row r="3" spans="1:1" ht="18">
      <c r="A3" s="1381" t="str">
        <f>项目基本情况!B5&amp;"："</f>
        <v>：</v>
      </c>
    </row>
    <row r="4" spans="1:1" ht="18">
      <c r="A4" s="1382" t="str">
        <f>"受贵公司委托，我公司对"&amp;项目基本情况!S1&amp;"进行了预评估。"</f>
        <v>受贵公司委托，我公司对北京市房地产市场价值进行了预评估。</v>
      </c>
    </row>
    <row r="5" spans="1:1" ht="18.75">
      <c r="A5" s="1383" t="s">
        <v>899</v>
      </c>
    </row>
    <row r="6" spans="1:1" ht="18.75">
      <c r="A6" s="1384" t="s">
        <v>900</v>
      </c>
    </row>
    <row r="7" spans="1:1" ht="36">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估价对象为北京市房地产，为所有。根据《国有土地使用证》[]，估价对象（分摊）出让国有建设用地使用权面积为0平方米，建筑面积为32.74平方米。</v>
      </c>
    </row>
    <row r="8" spans="1:1" ht="57.75">
      <c r="A8" s="1385" t="s">
        <v>901</v>
      </c>
    </row>
    <row r="9" spans="1:1" ht="18.75">
      <c r="A9" s="1384" t="s">
        <v>902</v>
      </c>
    </row>
    <row r="10" spans="1:1" ht="5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估价对象为北京市房地产,属开发建设的，该项目尚在开发建设中。根据《国有土地使用证》[]，估价对象（分摊）出让国有建设用地使用权面积为0平方米，规划建筑面积为32.74平方米。</v>
      </c>
    </row>
    <row r="11" spans="1:1" ht="76.5">
      <c r="A11" s="1385" t="s">
        <v>903</v>
      </c>
    </row>
    <row r="12" spans="1:1" ht="18.75">
      <c r="A12" s="1383" t="s">
        <v>904</v>
      </c>
    </row>
    <row r="13" spans="1:1" ht="38.25" customHeight="1">
      <c r="A13" s="1382" t="str">
        <f>IF(项目基本情况!B8="抵押",IF(项目基本情况!B5=项目基本情况!B6,定义!C51,定义!B51),定义!D51)</f>
        <v>为估价委托人了解估价对象房地产市场价值提供参考依据。</v>
      </c>
    </row>
    <row r="14" spans="1:1" ht="18.75">
      <c r="A14" s="1381" t="s">
        <v>905</v>
      </c>
    </row>
    <row r="15" spans="1:1" ht="18">
      <c r="A15" s="1386" t="str">
        <f>TEXT(项目基本情况!D3,"yyyy年m月d日;;")&amp;IF(项目基本情况!D3=项目基本情况!B3,"（评估专业人员实地查勘之日）","")</f>
        <v>2025年12月24日（评估专业人员实地查勘之日）</v>
      </c>
    </row>
    <row r="16" spans="1:1" ht="18.75">
      <c r="A16" s="1381" t="s">
        <v>906</v>
      </c>
    </row>
    <row r="17" spans="1:1" ht="75">
      <c r="A17" s="1382" t="s">
        <v>907</v>
      </c>
    </row>
    <row r="18" spans="1:1" ht="5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24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382" t="str">
        <f>IF(项目基本情况!B9="房地产市场价值","——",IF(项目基本情况!E8="房地产抵押价值",定义!C54,IF(项目基本情况!E8="已注销",定义!C55,定义!C56)))</f>
        <v>——</v>
      </c>
    </row>
    <row r="21" spans="1:1" ht="18">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382" t="str">
        <f>IF(项目基本情况!B9="房地产市场价值","——",IF(项目基本情况!E9="——","",定义!C57))</f>
        <v>——</v>
      </c>
    </row>
    <row r="23" spans="1:1" ht="18.75">
      <c r="A23" s="1381" t="s">
        <v>896</v>
      </c>
    </row>
    <row r="24" spans="1:1" ht="18">
      <c r="A24" s="1387" t="str">
        <f>"本次评估采用的主估价方法为"&amp;结果表!K4&amp;"和"&amp;结果表!L4&amp;"。"</f>
        <v>本次评估采用的主估价方法为比较法和收益法。</v>
      </c>
    </row>
    <row r="25" spans="1:1" ht="18">
      <c r="A25" s="1387"/>
    </row>
    <row r="26" spans="1:1" ht="18.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5"/>
      <c r="M4" s="2486"/>
      <c r="N4" s="2486"/>
      <c r="O4" s="2486"/>
      <c r="P4" s="3416" t="s">
        <v>1775</v>
      </c>
      <c r="Q4" s="3417"/>
      <c r="R4" s="3398" t="s">
        <v>1771</v>
      </c>
      <c r="S4" s="3399"/>
      <c r="T4" s="3398" t="s">
        <v>1772</v>
      </c>
      <c r="U4" s="3399"/>
      <c r="V4" s="3424" t="s">
        <v>1773</v>
      </c>
      <c r="W4" s="3424"/>
      <c r="X4" s="1265"/>
      <c r="Y4" s="3398" t="s">
        <v>1775</v>
      </c>
      <c r="Z4" s="3399"/>
      <c r="AA4" s="3393" t="s">
        <v>1771</v>
      </c>
      <c r="AB4" s="3394" t="s">
        <v>1772</v>
      </c>
      <c r="AC4" s="3393" t="s">
        <v>1773</v>
      </c>
    </row>
    <row r="5" spans="1:29" ht="15">
      <c r="A5" s="348"/>
      <c r="B5" s="349"/>
      <c r="C5" s="3408" t="s">
        <v>1673</v>
      </c>
      <c r="D5" s="3405"/>
      <c r="E5" s="3402" t="s">
        <v>1674</v>
      </c>
      <c r="F5" s="3403"/>
      <c r="G5" s="3408" t="s">
        <v>1675</v>
      </c>
      <c r="H5" s="3405"/>
      <c r="I5" s="3408" t="s">
        <v>1676</v>
      </c>
      <c r="J5" s="3405"/>
      <c r="K5" s="537"/>
      <c r="L5" s="2485"/>
      <c r="M5" s="2486"/>
      <c r="N5" s="2486"/>
      <c r="O5" s="2486"/>
      <c r="P5" s="3418"/>
      <c r="Q5" s="3419"/>
      <c r="R5" s="3400"/>
      <c r="S5" s="3401"/>
      <c r="T5" s="3400"/>
      <c r="U5" s="3401"/>
      <c r="V5" s="3424"/>
      <c r="W5" s="3424"/>
      <c r="X5" s="1265"/>
      <c r="Y5" s="3400"/>
      <c r="Z5" s="3401"/>
      <c r="AA5" s="3394"/>
      <c r="AB5" s="3394"/>
      <c r="AC5" s="3394"/>
    </row>
    <row r="6" spans="1:29" ht="15.75" thickBot="1">
      <c r="A6" s="350"/>
      <c r="B6" s="351"/>
      <c r="C6" s="3406" t="s">
        <v>1677</v>
      </c>
      <c r="D6" s="3407"/>
      <c r="E6" s="3409" t="s">
        <v>1677</v>
      </c>
      <c r="F6" s="3410"/>
      <c r="G6" s="3406" t="s">
        <v>1677</v>
      </c>
      <c r="H6" s="3407"/>
      <c r="I6" s="3406" t="s">
        <v>1677</v>
      </c>
      <c r="J6" s="3407"/>
      <c r="K6" s="537" t="s">
        <v>1678</v>
      </c>
      <c r="L6" s="2485"/>
      <c r="M6" s="2486"/>
      <c r="N6" s="2486"/>
      <c r="O6" s="2486"/>
      <c r="P6" s="3420"/>
      <c r="Q6" s="3421"/>
      <c r="R6" s="3400"/>
      <c r="S6" s="3401"/>
      <c r="T6" s="3422"/>
      <c r="U6" s="3423"/>
      <c r="V6" s="3424"/>
      <c r="W6" s="3424"/>
      <c r="X6" s="1265"/>
      <c r="Y6" s="3422"/>
      <c r="Z6" s="3423"/>
      <c r="AA6" s="3395"/>
      <c r="AB6" s="3395"/>
      <c r="AC6" s="3395"/>
    </row>
    <row r="7" spans="1:29" s="102" customFormat="1" ht="15.75" thickBot="1">
      <c r="A7" s="352" t="s">
        <v>1679</v>
      </c>
      <c r="B7" s="353"/>
      <c r="C7" s="354">
        <f>'数据-取费表'!B2</f>
        <v>46015</v>
      </c>
      <c r="D7" s="355">
        <v>100</v>
      </c>
      <c r="E7" s="356"/>
      <c r="F7" s="357">
        <f>SUMIF(46:46,YEAR(E7)&amp;"-"&amp;MONTH(E7),47:47)</f>
        <v>0</v>
      </c>
      <c r="G7" s="1820"/>
      <c r="H7" s="355">
        <f>SUMIF(46:46,YEAR(G7)&amp;"-"&amp;MONTH(G7),47:47)</f>
        <v>0</v>
      </c>
      <c r="I7" s="356"/>
      <c r="J7" s="355">
        <f>SUMIF(46:46,YEAR(I7)&amp;"-"&amp;MONTH(I7),47:47)</f>
        <v>0</v>
      </c>
      <c r="K7" s="38"/>
      <c r="L7" s="2487"/>
      <c r="M7" s="2438"/>
      <c r="N7" s="2438"/>
      <c r="O7" s="2438"/>
      <c r="P7" s="3396" t="s">
        <v>1680</v>
      </c>
      <c r="Q7" s="3425"/>
      <c r="R7" s="664" t="s">
        <v>14</v>
      </c>
      <c r="S7" s="665">
        <f t="shared" ref="S7:S14" si="0">F7</f>
        <v>0</v>
      </c>
      <c r="T7" s="664" t="s">
        <v>14</v>
      </c>
      <c r="U7" s="665">
        <f t="shared" ref="U7:U14" si="1">H7</f>
        <v>0</v>
      </c>
      <c r="V7" s="664" t="s">
        <v>14</v>
      </c>
      <c r="W7" s="665">
        <f t="shared" ref="W7:W14" si="2">J7</f>
        <v>0</v>
      </c>
      <c r="X7" s="666"/>
      <c r="Y7" s="3396" t="s">
        <v>1680</v>
      </c>
      <c r="Z7" s="3397"/>
      <c r="AA7" s="50" t="e">
        <f>D7/F7</f>
        <v>#DIV/0!</v>
      </c>
      <c r="AB7" s="50" t="e">
        <f>D7/H7</f>
        <v>#DIV/0!</v>
      </c>
      <c r="AC7" s="50" t="e">
        <f>D7/J7</f>
        <v>#DIV/0!</v>
      </c>
    </row>
    <row r="8" spans="1:29" s="102"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8"/>
      <c r="N9" s="2438"/>
      <c r="O9" s="2539"/>
      <c r="P9" s="3429" t="s">
        <v>1686</v>
      </c>
      <c r="Q9" s="530" t="str">
        <f t="shared" ref="Q9:Q14" si="6">B9</f>
        <v>用途</v>
      </c>
      <c r="R9" s="664" t="s">
        <v>14</v>
      </c>
      <c r="S9" s="665">
        <f t="shared" si="0"/>
        <v>100</v>
      </c>
      <c r="T9" s="664" t="s">
        <v>14</v>
      </c>
      <c r="U9" s="665">
        <f t="shared" si="1"/>
        <v>100</v>
      </c>
      <c r="V9" s="664" t="s">
        <v>14</v>
      </c>
      <c r="W9" s="665">
        <f t="shared" si="2"/>
        <v>100</v>
      </c>
      <c r="X9" s="666"/>
      <c r="Y9" s="3340" t="s">
        <v>1687</v>
      </c>
      <c r="Z9" s="50" t="str">
        <f t="shared" ref="Z9:Z14" si="7">Q9</f>
        <v>用途</v>
      </c>
      <c r="AA9" s="50">
        <f t="shared" si="3"/>
        <v>1</v>
      </c>
      <c r="AB9" s="50">
        <f t="shared" si="4"/>
        <v>1</v>
      </c>
      <c r="AC9" s="50">
        <f t="shared" si="5"/>
        <v>1</v>
      </c>
    </row>
    <row r="10" spans="1:29" s="366" customFormat="1" ht="27">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29"/>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29"/>
      <c r="Q11" s="530">
        <f t="shared" si="6"/>
        <v>111</v>
      </c>
      <c r="R11" s="664" t="s">
        <v>14</v>
      </c>
      <c r="S11" s="665">
        <f t="shared" si="0"/>
        <v>100</v>
      </c>
      <c r="T11" s="664" t="s">
        <v>14</v>
      </c>
      <c r="U11" s="665">
        <f t="shared" si="1"/>
        <v>100</v>
      </c>
      <c r="V11" s="664" t="s">
        <v>14</v>
      </c>
      <c r="W11" s="665">
        <f t="shared" si="2"/>
        <v>100</v>
      </c>
      <c r="X11" s="666"/>
      <c r="Y11" s="3340"/>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8"/>
      <c r="N12" s="2438"/>
      <c r="O12" s="2539"/>
      <c r="P12" s="3429"/>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21"/>
      <c r="H13" s="377">
        <f>SUMIF(59:59,G13,60:60)-SUMIF(59:59,C13,60:60)+100</f>
        <v>100</v>
      </c>
      <c r="I13" s="407"/>
      <c r="J13" s="374">
        <f>SUMIF(59:59,I13,60:60)-SUMIF(59:59,C13,60:60)+100</f>
        <v>100</v>
      </c>
      <c r="K13" s="539"/>
      <c r="L13" s="2491"/>
      <c r="M13" s="2486"/>
      <c r="N13" s="2486"/>
      <c r="O13" s="2541"/>
      <c r="P13" s="3429"/>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85.5">
      <c r="A14" s="379" t="s">
        <v>1690</v>
      </c>
      <c r="B14" s="58" t="s">
        <v>1833</v>
      </c>
      <c r="C14" s="1817"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30" t="s">
        <v>1691</v>
      </c>
      <c r="Q14" s="1263" t="str">
        <f t="shared" si="6"/>
        <v>交通便捷度</v>
      </c>
      <c r="R14" s="667" t="s">
        <v>14</v>
      </c>
      <c r="S14" s="668">
        <f t="shared" si="0"/>
        <v>100</v>
      </c>
      <c r="T14" s="667" t="s">
        <v>14</v>
      </c>
      <c r="U14" s="668">
        <f t="shared" si="1"/>
        <v>100</v>
      </c>
      <c r="V14" s="667" t="s">
        <v>14</v>
      </c>
      <c r="W14" s="668">
        <f t="shared" si="2"/>
        <v>100</v>
      </c>
      <c r="X14" s="1265"/>
      <c r="Y14" s="3430"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431"/>
      <c r="Q15" s="1263"/>
      <c r="R15" s="667"/>
      <c r="S15" s="668"/>
      <c r="T15" s="667"/>
      <c r="U15" s="668"/>
      <c r="V15" s="667"/>
      <c r="W15" s="668"/>
      <c r="X15" s="1265"/>
      <c r="Y15" s="3431"/>
      <c r="Z15" s="1264"/>
      <c r="AA15" s="1264">
        <v>1</v>
      </c>
      <c r="AB15" s="1264">
        <v>1</v>
      </c>
      <c r="AC15" s="1264">
        <v>1</v>
      </c>
    </row>
    <row r="16" spans="1:29" ht="42.75">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31"/>
      <c r="Q16" s="1263" t="str">
        <f>B16</f>
        <v>公共配套设施</v>
      </c>
      <c r="R16" s="667" t="s">
        <v>14</v>
      </c>
      <c r="S16" s="668">
        <f>F16</f>
        <v>100</v>
      </c>
      <c r="T16" s="667" t="s">
        <v>14</v>
      </c>
      <c r="U16" s="668">
        <f>H16</f>
        <v>100</v>
      </c>
      <c r="V16" s="667" t="s">
        <v>14</v>
      </c>
      <c r="W16" s="668">
        <f>J16</f>
        <v>100</v>
      </c>
      <c r="X16" s="1265"/>
      <c r="Y16" s="3431"/>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431"/>
      <c r="Q17" s="1263"/>
      <c r="R17" s="667"/>
      <c r="S17" s="668"/>
      <c r="T17" s="667"/>
      <c r="U17" s="668"/>
      <c r="V17" s="667"/>
      <c r="W17" s="668"/>
      <c r="X17" s="1265"/>
      <c r="Y17" s="3431"/>
      <c r="Z17" s="1264"/>
      <c r="AA17" s="1264">
        <v>1</v>
      </c>
      <c r="AB17" s="1264">
        <v>1</v>
      </c>
      <c r="AC17" s="1264">
        <v>1</v>
      </c>
    </row>
    <row r="18" spans="1:29" ht="28.5">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31"/>
      <c r="Q18" s="1263" t="str">
        <f>B18</f>
        <v>基础设施水平</v>
      </c>
      <c r="R18" s="667" t="s">
        <v>14</v>
      </c>
      <c r="S18" s="668">
        <f>F18</f>
        <v>100</v>
      </c>
      <c r="T18" s="667" t="s">
        <v>14</v>
      </c>
      <c r="U18" s="668">
        <f>H18</f>
        <v>100</v>
      </c>
      <c r="V18" s="667" t="s">
        <v>14</v>
      </c>
      <c r="W18" s="668">
        <f>J18</f>
        <v>100</v>
      </c>
      <c r="X18" s="1265"/>
      <c r="Y18" s="3431"/>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431"/>
      <c r="Q19" s="1263"/>
      <c r="R19" s="667"/>
      <c r="S19" s="668"/>
      <c r="T19" s="667"/>
      <c r="U19" s="668"/>
      <c r="V19" s="667"/>
      <c r="W19" s="668"/>
      <c r="X19" s="1265"/>
      <c r="Y19" s="3431"/>
      <c r="Z19" s="1264"/>
      <c r="AA19" s="1264">
        <v>1</v>
      </c>
      <c r="AB19" s="1264">
        <v>1</v>
      </c>
      <c r="AC19" s="1264">
        <v>1</v>
      </c>
    </row>
    <row r="20" spans="1:29" ht="57">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31"/>
      <c r="Q20" s="1263" t="str">
        <f>B20</f>
        <v>自然及人文环境</v>
      </c>
      <c r="R20" s="667" t="s">
        <v>14</v>
      </c>
      <c r="S20" s="668">
        <f>F20</f>
        <v>100</v>
      </c>
      <c r="T20" s="667" t="s">
        <v>14</v>
      </c>
      <c r="U20" s="668">
        <f>H20</f>
        <v>100</v>
      </c>
      <c r="V20" s="667" t="s">
        <v>14</v>
      </c>
      <c r="W20" s="668">
        <f>J20</f>
        <v>100</v>
      </c>
      <c r="X20" s="1265"/>
      <c r="Y20" s="3431"/>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431"/>
      <c r="Q21" s="1263"/>
      <c r="R21" s="667"/>
      <c r="S21" s="668"/>
      <c r="T21" s="667"/>
      <c r="U21" s="668"/>
      <c r="V21" s="667"/>
      <c r="W21" s="668"/>
      <c r="X21" s="1265"/>
      <c r="Y21" s="3431"/>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31"/>
      <c r="Q22" s="1263" t="str">
        <f>B22</f>
        <v>楼层</v>
      </c>
      <c r="R22" s="667" t="s">
        <v>14</v>
      </c>
      <c r="S22" s="668">
        <f>F22</f>
        <v>100</v>
      </c>
      <c r="T22" s="667" t="s">
        <v>14</v>
      </c>
      <c r="U22" s="668">
        <f>H22</f>
        <v>100</v>
      </c>
      <c r="V22" s="667" t="s">
        <v>14</v>
      </c>
      <c r="W22" s="668">
        <f>J22</f>
        <v>100</v>
      </c>
      <c r="X22" s="1265"/>
      <c r="Y22" s="3431"/>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31"/>
      <c r="Q23" s="1263">
        <f>B23</f>
        <v>111</v>
      </c>
      <c r="R23" s="667" t="s">
        <v>14</v>
      </c>
      <c r="S23" s="668">
        <f>F23</f>
        <v>100</v>
      </c>
      <c r="T23" s="667" t="s">
        <v>14</v>
      </c>
      <c r="U23" s="668">
        <f>H23</f>
        <v>100</v>
      </c>
      <c r="V23" s="667" t="s">
        <v>14</v>
      </c>
      <c r="W23" s="668">
        <f>J23</f>
        <v>100</v>
      </c>
      <c r="X23" s="1265"/>
      <c r="Y23" s="3431"/>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31"/>
      <c r="Q24" s="1263">
        <f t="shared" ref="Q24:Q34" si="11">B24</f>
        <v>111</v>
      </c>
      <c r="R24" s="667" t="s">
        <v>14</v>
      </c>
      <c r="S24" s="668">
        <f>F24</f>
        <v>100</v>
      </c>
      <c r="T24" s="667" t="s">
        <v>14</v>
      </c>
      <c r="U24" s="668">
        <f>H24</f>
        <v>100</v>
      </c>
      <c r="V24" s="667" t="s">
        <v>14</v>
      </c>
      <c r="W24" s="668">
        <f>J24</f>
        <v>100</v>
      </c>
      <c r="X24" s="1265"/>
      <c r="Y24" s="3431"/>
      <c r="Z24" s="1264">
        <f>Q24</f>
        <v>111</v>
      </c>
      <c r="AA24" s="1264">
        <f t="shared" si="3"/>
        <v>1</v>
      </c>
      <c r="AB24" s="1264">
        <f t="shared" si="4"/>
        <v>1</v>
      </c>
      <c r="AC24" s="1264">
        <f t="shared" si="5"/>
        <v>1</v>
      </c>
    </row>
    <row r="25" spans="1:29" s="102" customFormat="1" ht="15.75" thickBot="1">
      <c r="A25" s="370"/>
      <c r="B25" s="447">
        <v>111</v>
      </c>
      <c r="C25" s="1822"/>
      <c r="D25" s="557">
        <v>100</v>
      </c>
      <c r="E25" s="1822"/>
      <c r="F25" s="586">
        <f>SUMIF(75:75,E25,76:76)-SUMIF(75:75,C25,76:76)+100</f>
        <v>100</v>
      </c>
      <c r="G25" s="1822"/>
      <c r="H25" s="557">
        <f>SUMIF(75:75,G25,76:76)-SUMIF(75:75,C25,76:76)+100</f>
        <v>100</v>
      </c>
      <c r="I25" s="1822"/>
      <c r="J25" s="557">
        <f>SUMIF(75:75,I25,76:76)-SUMIF(75:75,C25,76:76)+100</f>
        <v>100</v>
      </c>
      <c r="K25" s="539"/>
      <c r="L25" s="2487"/>
      <c r="M25" s="2438"/>
      <c r="N25" s="2438"/>
      <c r="O25" s="2539"/>
      <c r="P25" s="3431"/>
      <c r="Q25" s="530">
        <f t="shared" si="11"/>
        <v>111</v>
      </c>
      <c r="R25" s="664" t="s">
        <v>14</v>
      </c>
      <c r="S25" s="665">
        <f>F25</f>
        <v>100</v>
      </c>
      <c r="T25" s="664" t="s">
        <v>14</v>
      </c>
      <c r="U25" s="665">
        <f>H25</f>
        <v>100</v>
      </c>
      <c r="V25" s="664" t="s">
        <v>14</v>
      </c>
      <c r="W25" s="665">
        <f>J25</f>
        <v>100</v>
      </c>
      <c r="X25" s="666"/>
      <c r="Y25" s="3431"/>
      <c r="Z25" s="50">
        <f>Q25</f>
        <v>111</v>
      </c>
      <c r="AA25" s="1264">
        <f>D25/F25</f>
        <v>1</v>
      </c>
      <c r="AB25" s="1264">
        <f>D25/H25</f>
        <v>1</v>
      </c>
      <c r="AC25" s="1264">
        <f>D25/J25</f>
        <v>1</v>
      </c>
    </row>
    <row r="26" spans="1:29" ht="28.5">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35"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35"/>
      <c r="Q27" s="531" t="str">
        <f t="shared" si="11"/>
        <v>成新率</v>
      </c>
      <c r="R27" s="669" t="s">
        <v>14</v>
      </c>
      <c r="S27" s="670" t="e">
        <f t="shared" si="12"/>
        <v>#N/A</v>
      </c>
      <c r="T27" s="669" t="s">
        <v>14</v>
      </c>
      <c r="U27" s="670" t="e">
        <f t="shared" si="13"/>
        <v>#N/A</v>
      </c>
      <c r="V27" s="669" t="s">
        <v>14</v>
      </c>
      <c r="W27" s="670" t="e">
        <f t="shared" si="14"/>
        <v>#N/A</v>
      </c>
      <c r="X27" s="671"/>
      <c r="Y27" s="3435"/>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35"/>
      <c r="Q28" s="1263" t="str">
        <f t="shared" si="11"/>
        <v>物业等级</v>
      </c>
      <c r="R28" s="667" t="s">
        <v>14</v>
      </c>
      <c r="S28" s="668">
        <f t="shared" si="12"/>
        <v>100</v>
      </c>
      <c r="T28" s="667" t="s">
        <v>14</v>
      </c>
      <c r="U28" s="668">
        <f t="shared" si="13"/>
        <v>100</v>
      </c>
      <c r="V28" s="667" t="s">
        <v>14</v>
      </c>
      <c r="W28" s="668">
        <f t="shared" si="14"/>
        <v>100</v>
      </c>
      <c r="X28" s="1265"/>
      <c r="Y28" s="3435"/>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35"/>
      <c r="Q29" s="1263" t="str">
        <f t="shared" si="11"/>
        <v>有无电梯</v>
      </c>
      <c r="R29" s="667" t="s">
        <v>14</v>
      </c>
      <c r="S29" s="668">
        <f t="shared" si="12"/>
        <v>100</v>
      </c>
      <c r="T29" s="667" t="s">
        <v>14</v>
      </c>
      <c r="U29" s="668">
        <f t="shared" si="13"/>
        <v>100</v>
      </c>
      <c r="V29" s="667" t="s">
        <v>14</v>
      </c>
      <c r="W29" s="668">
        <f t="shared" si="14"/>
        <v>100</v>
      </c>
      <c r="X29" s="1265"/>
      <c r="Y29" s="3435"/>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35"/>
      <c r="Q30" s="1263" t="str">
        <f t="shared" si="11"/>
        <v>建筑面积</v>
      </c>
      <c r="R30" s="667" t="s">
        <v>14</v>
      </c>
      <c r="S30" s="668" t="e">
        <f t="shared" si="12"/>
        <v>#N/A</v>
      </c>
      <c r="T30" s="667" t="s">
        <v>14</v>
      </c>
      <c r="U30" s="668" t="e">
        <f t="shared" si="13"/>
        <v>#N/A</v>
      </c>
      <c r="V30" s="667" t="s">
        <v>14</v>
      </c>
      <c r="W30" s="668" t="e">
        <f t="shared" si="14"/>
        <v>#N/A</v>
      </c>
      <c r="X30" s="1265"/>
      <c r="Y30" s="3435"/>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8"/>
      <c r="N31" s="2438"/>
      <c r="O31" s="2539"/>
      <c r="P31" s="3435"/>
      <c r="Q31" s="530" t="str">
        <f t="shared" si="11"/>
        <v>是否封闭</v>
      </c>
      <c r="R31" s="664" t="s">
        <v>14</v>
      </c>
      <c r="S31" s="665">
        <f t="shared" si="12"/>
        <v>100</v>
      </c>
      <c r="T31" s="664" t="s">
        <v>14</v>
      </c>
      <c r="U31" s="665">
        <f t="shared" si="13"/>
        <v>100</v>
      </c>
      <c r="V31" s="664" t="s">
        <v>14</v>
      </c>
      <c r="W31" s="665">
        <f t="shared" si="14"/>
        <v>100</v>
      </c>
      <c r="X31" s="666"/>
      <c r="Y31" s="3435"/>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35" t="s">
        <v>1696</v>
      </c>
      <c r="Q32" s="1263">
        <f t="shared" si="11"/>
        <v>111</v>
      </c>
      <c r="R32" s="667" t="s">
        <v>14</v>
      </c>
      <c r="S32" s="668">
        <f t="shared" si="12"/>
        <v>100</v>
      </c>
      <c r="T32" s="667" t="s">
        <v>14</v>
      </c>
      <c r="U32" s="668">
        <f t="shared" si="13"/>
        <v>100</v>
      </c>
      <c r="V32" s="667" t="s">
        <v>14</v>
      </c>
      <c r="W32" s="668">
        <f t="shared" si="14"/>
        <v>100</v>
      </c>
      <c r="X32" s="1265"/>
      <c r="Y32" s="3435"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35"/>
      <c r="Q33" s="1263">
        <f t="shared" si="11"/>
        <v>111</v>
      </c>
      <c r="R33" s="667" t="s">
        <v>14</v>
      </c>
      <c r="S33" s="668">
        <f t="shared" si="12"/>
        <v>100</v>
      </c>
      <c r="T33" s="667" t="s">
        <v>14</v>
      </c>
      <c r="U33" s="668">
        <f t="shared" si="13"/>
        <v>100</v>
      </c>
      <c r="V33" s="667" t="s">
        <v>14</v>
      </c>
      <c r="W33" s="668">
        <f t="shared" si="14"/>
        <v>100</v>
      </c>
      <c r="X33" s="1265"/>
      <c r="Y33" s="3435"/>
      <c r="Z33" s="1264">
        <f t="shared" si="15"/>
        <v>111</v>
      </c>
      <c r="AA33" s="1264">
        <f t="shared" si="3"/>
        <v>1</v>
      </c>
      <c r="AB33" s="1264">
        <f t="shared" si="4"/>
        <v>1</v>
      </c>
      <c r="AC33" s="1264">
        <f t="shared" si="5"/>
        <v>1</v>
      </c>
    </row>
    <row r="34" spans="1:30" ht="15.75" thickBot="1">
      <c r="A34" s="415"/>
      <c r="B34" s="1749">
        <v>111</v>
      </c>
      <c r="C34" s="376"/>
      <c r="D34" s="377">
        <v>100</v>
      </c>
      <c r="E34" s="1821"/>
      <c r="F34" s="378">
        <f>SUMIF(95:95,E34,96:96)-SUMIF(95:95,C34,96:96)+100</f>
        <v>100</v>
      </c>
      <c r="G34" s="1821"/>
      <c r="H34" s="377">
        <f>SUMIF(95:95,G34,96:96)-SUMIF(95:95,C34,96:96)+100</f>
        <v>100</v>
      </c>
      <c r="I34" s="1821"/>
      <c r="J34" s="377">
        <f>SUMIF(95:95,I34,96:96)-SUMIF(95:95,C34,96:96)+100</f>
        <v>100</v>
      </c>
      <c r="K34" s="539"/>
      <c r="L34" s="2491"/>
      <c r="M34" s="2486"/>
      <c r="N34" s="2486"/>
      <c r="O34" s="2541"/>
      <c r="P34" s="3435"/>
      <c r="Q34" s="1263">
        <f t="shared" si="11"/>
        <v>111</v>
      </c>
      <c r="R34" s="667" t="s">
        <v>14</v>
      </c>
      <c r="S34" s="668">
        <f t="shared" si="12"/>
        <v>100</v>
      </c>
      <c r="T34" s="667" t="s">
        <v>14</v>
      </c>
      <c r="U34" s="668">
        <f t="shared" si="13"/>
        <v>100</v>
      </c>
      <c r="V34" s="667" t="s">
        <v>14</v>
      </c>
      <c r="W34" s="668">
        <f t="shared" si="14"/>
        <v>100</v>
      </c>
      <c r="X34" s="1265"/>
      <c r="Y34" s="3435"/>
      <c r="Z34" s="1264">
        <f t="shared" si="15"/>
        <v>111</v>
      </c>
      <c r="AA34" s="1264">
        <f t="shared" si="3"/>
        <v>1</v>
      </c>
      <c r="AB34" s="1264">
        <f t="shared" si="4"/>
        <v>1</v>
      </c>
      <c r="AC34" s="1264">
        <f t="shared" si="5"/>
        <v>1</v>
      </c>
    </row>
    <row r="35" spans="1:30" ht="15">
      <c r="A35" s="416" t="s">
        <v>1708</v>
      </c>
      <c r="B35" s="417"/>
      <c r="C35" s="1081" t="s">
        <v>0</v>
      </c>
      <c r="D35" s="418"/>
      <c r="E35" s="419"/>
      <c r="F35" s="420"/>
      <c r="G35" s="421"/>
      <c r="H35" s="422"/>
      <c r="I35" s="419"/>
      <c r="J35" s="422"/>
      <c r="K35" s="674"/>
      <c r="L35" s="2493"/>
      <c r="M35" s="2486"/>
      <c r="N35" s="2486"/>
      <c r="O35" s="2486"/>
      <c r="P35" s="3429" t="str">
        <f>A35</f>
        <v>成交单价（元/平方米）</v>
      </c>
      <c r="Q35" s="3429"/>
      <c r="R35" s="3424">
        <f>E35</f>
        <v>0</v>
      </c>
      <c r="S35" s="3424"/>
      <c r="T35" s="3424">
        <f>G35</f>
        <v>0</v>
      </c>
      <c r="U35" s="3424"/>
      <c r="V35" s="3424">
        <f>I35</f>
        <v>0</v>
      </c>
      <c r="W35" s="3424"/>
      <c r="X35" s="385"/>
      <c r="Y35" s="673"/>
      <c r="Z35" s="385"/>
      <c r="AA35" s="385"/>
      <c r="AB35" s="385"/>
      <c r="AC35" s="385"/>
    </row>
    <row r="36" spans="1:30" ht="15.75" thickBot="1">
      <c r="A36" s="423" t="s">
        <v>1793</v>
      </c>
      <c r="B36" s="424"/>
      <c r="C36" s="1082" t="e">
        <f>R37</f>
        <v>#DIV/0!</v>
      </c>
      <c r="D36" s="2139" t="s">
        <v>2138</v>
      </c>
      <c r="E36" s="1083" t="e">
        <f>R36</f>
        <v>#DIV/0!</v>
      </c>
      <c r="F36" s="2140"/>
      <c r="G36" s="1082" t="e">
        <f>T36</f>
        <v>#DIV/0!</v>
      </c>
      <c r="H36" s="2140"/>
      <c r="I36" s="1083" t="e">
        <f>V36</f>
        <v>#DIV/0!</v>
      </c>
      <c r="J36" s="2140"/>
      <c r="K36" s="2142">
        <f>F36+H36+J36</f>
        <v>0</v>
      </c>
      <c r="L36" s="2493"/>
      <c r="M36" s="2486"/>
      <c r="N36" s="2486"/>
      <c r="O36" s="2486"/>
      <c r="P36" s="3429" t="str">
        <f>A36</f>
        <v>比较价值（元/平方米）</v>
      </c>
      <c r="Q36" s="3429"/>
      <c r="R36" s="3424" t="e">
        <f>IF(F1="售价",ROUND(PRODUCT(R35,AA7:AA34),0),ROUND(PRODUCT(R35,AA7:AA34),1))</f>
        <v>#DIV/0!</v>
      </c>
      <c r="S36" s="3424"/>
      <c r="T36" s="3424" t="e">
        <f>IF(F1="售价",ROUND(PRODUCT(T35,AB7:AB34),0),ROUND(PRODUCT(T35,AB7:AB34),1))</f>
        <v>#DIV/0!</v>
      </c>
      <c r="U36" s="3424"/>
      <c r="V36" s="3424" t="e">
        <f>IF(F1="售价",ROUND(PRODUCT(V35,AC7:AC34),0),ROUND(PRODUCT(V35,AC7:AC34),1))</f>
        <v>#DIV/0!</v>
      </c>
      <c r="W36" s="3424"/>
      <c r="X36" s="385"/>
      <c r="Y36" s="385"/>
      <c r="Z36" s="385"/>
      <c r="AA36" s="385"/>
      <c r="AB36" s="385"/>
      <c r="AC36" s="385"/>
    </row>
    <row r="37" spans="1:30" ht="15.75" thickBot="1">
      <c r="A37" s="427" t="s">
        <v>1794</v>
      </c>
      <c r="B37" s="428"/>
      <c r="C37" s="351" t="e">
        <f>R37</f>
        <v>#DIV/0!</v>
      </c>
      <c r="D37" s="351"/>
      <c r="E37" s="351"/>
      <c r="F37" s="351"/>
      <c r="G37" s="351"/>
      <c r="H37" s="351"/>
      <c r="I37" s="351"/>
      <c r="J37" s="351"/>
      <c r="K37" s="675"/>
      <c r="L37" s="2493"/>
      <c r="M37" s="2486"/>
      <c r="N37" s="2486"/>
      <c r="O37" s="2486"/>
      <c r="P37" s="3426" t="str">
        <f>A37</f>
        <v>估价对象XX用房的比较价值（楼面单价，元/平方米）</v>
      </c>
      <c r="Q37" s="3427"/>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7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5">
      <c r="A46" s="440" t="s">
        <v>1679</v>
      </c>
      <c r="B46" s="441"/>
      <c r="C46" s="1103" t="str">
        <f>YEAR(C7)&amp;"-"&amp;MONTH(C7)</f>
        <v>2025-12</v>
      </c>
      <c r="D46" s="1104">
        <f>EDATE(C46,-1)</f>
        <v>45962</v>
      </c>
      <c r="E46" s="1104">
        <f t="shared" ref="E46:O46" si="16">EDATE(D46,-1)</f>
        <v>45931</v>
      </c>
      <c r="F46" s="1104">
        <f t="shared" si="16"/>
        <v>45901</v>
      </c>
      <c r="G46" s="1104">
        <f t="shared" si="16"/>
        <v>45870</v>
      </c>
      <c r="H46" s="1104">
        <f t="shared" si="16"/>
        <v>45839</v>
      </c>
      <c r="I46" s="1104">
        <f t="shared" si="16"/>
        <v>45809</v>
      </c>
      <c r="J46" s="1104">
        <f t="shared" si="16"/>
        <v>45778</v>
      </c>
      <c r="K46" s="1104">
        <f t="shared" si="16"/>
        <v>45748</v>
      </c>
      <c r="L46" s="1104">
        <f t="shared" si="16"/>
        <v>45717</v>
      </c>
      <c r="M46" s="1104">
        <f t="shared" si="16"/>
        <v>45689</v>
      </c>
      <c r="N46" s="1104">
        <f t="shared" si="16"/>
        <v>45658</v>
      </c>
      <c r="O46" s="1104">
        <f t="shared" si="16"/>
        <v>45627</v>
      </c>
      <c r="P46" s="2509"/>
      <c r="Q46" s="2509"/>
      <c r="R46" s="2509"/>
      <c r="S46" s="2509"/>
      <c r="T46" s="2509"/>
      <c r="U46" s="2509"/>
      <c r="V46" s="2509"/>
      <c r="W46" s="2509"/>
      <c r="X46" s="2509"/>
      <c r="Y46" s="2509"/>
      <c r="Z46" s="2509"/>
      <c r="AA46" s="2509"/>
      <c r="AB46" s="2509"/>
      <c r="AC46" s="2509"/>
      <c r="AD46" s="2509"/>
    </row>
    <row r="47" spans="1:30" s="102" customFormat="1" ht="15">
      <c r="A47" s="443"/>
      <c r="B47" s="444"/>
      <c r="C47" s="1102">
        <v>100</v>
      </c>
      <c r="D47" s="446"/>
      <c r="E47" s="446"/>
      <c r="F47" s="446"/>
      <c r="G47" s="446"/>
      <c r="H47" s="446"/>
      <c r="I47" s="446"/>
      <c r="J47" s="446"/>
      <c r="K47" s="446"/>
      <c r="L47" s="446"/>
      <c r="M47" s="447"/>
      <c r="N47" s="446"/>
      <c r="O47" s="448"/>
      <c r="P47" s="2507"/>
      <c r="Q47" s="2438"/>
      <c r="R47" s="2438"/>
      <c r="S47" s="2438"/>
      <c r="T47" s="2438"/>
      <c r="U47" s="2438"/>
      <c r="V47" s="2438"/>
      <c r="W47" s="2438"/>
      <c r="X47" s="2438"/>
      <c r="Y47" s="2438"/>
      <c r="Z47" s="2438"/>
      <c r="AA47" s="2438"/>
      <c r="AB47" s="2438"/>
      <c r="AC47" s="2438"/>
      <c r="AD47" s="2438"/>
    </row>
    <row r="48" spans="1:30" s="102" customFormat="1" ht="15.75" thickBot="1">
      <c r="A48" s="449" t="s">
        <v>1716</v>
      </c>
      <c r="B48" s="450"/>
      <c r="C48" s="451"/>
      <c r="D48" s="452"/>
      <c r="E48" s="452"/>
      <c r="F48" s="452"/>
      <c r="G48" s="452"/>
      <c r="H48" s="452"/>
      <c r="I48" s="452"/>
      <c r="J48" s="452"/>
      <c r="K48" s="452"/>
      <c r="L48" s="452"/>
      <c r="M48" s="453"/>
      <c r="N48" s="452"/>
      <c r="O48" s="454"/>
      <c r="P48" s="2507"/>
      <c r="Q48" s="2507"/>
      <c r="R48" s="2438"/>
      <c r="S48" s="2438"/>
      <c r="T48" s="2438"/>
      <c r="U48" s="2438"/>
      <c r="V48" s="2438"/>
      <c r="W48" s="2438"/>
      <c r="X48" s="2438"/>
      <c r="Y48" s="2438"/>
      <c r="Z48" s="2438"/>
      <c r="AA48" s="2438"/>
      <c r="AB48" s="2438"/>
      <c r="AC48" s="2438"/>
      <c r="AD48" s="2438"/>
    </row>
    <row r="49" spans="1:30" s="102" customFormat="1" ht="15">
      <c r="A49" s="455" t="s">
        <v>1681</v>
      </c>
      <c r="B49" s="444"/>
      <c r="C49" s="456" t="s">
        <v>1776</v>
      </c>
      <c r="D49" s="31"/>
      <c r="E49" s="31"/>
      <c r="F49" s="31"/>
      <c r="G49" s="31"/>
      <c r="H49" s="31"/>
      <c r="I49" s="31"/>
      <c r="J49" s="31"/>
      <c r="K49" s="31"/>
      <c r="L49" s="457"/>
      <c r="M49" s="458"/>
      <c r="N49" s="2519"/>
      <c r="O49" s="2519"/>
      <c r="P49" s="2543"/>
      <c r="Q49" s="2507"/>
      <c r="R49" s="2438"/>
      <c r="S49" s="2438"/>
      <c r="T49" s="2438"/>
      <c r="U49" s="2438"/>
      <c r="V49" s="2438"/>
      <c r="W49" s="2438"/>
      <c r="X49" s="2438"/>
      <c r="Y49" s="2438"/>
      <c r="Z49" s="2438"/>
      <c r="AA49" s="2438"/>
      <c r="AB49" s="2438"/>
      <c r="AC49" s="2438"/>
      <c r="AD49" s="2438"/>
    </row>
    <row r="50" spans="1:30" s="102" customFormat="1" ht="15.75" thickBot="1">
      <c r="A50" s="455"/>
      <c r="B50" s="444"/>
      <c r="C50" s="563">
        <v>100</v>
      </c>
      <c r="D50" s="446"/>
      <c r="E50" s="446"/>
      <c r="F50" s="446"/>
      <c r="G50" s="446"/>
      <c r="H50" s="446"/>
      <c r="I50" s="446"/>
      <c r="J50" s="446"/>
      <c r="K50" s="446"/>
      <c r="L50" s="446"/>
      <c r="M50" s="448"/>
      <c r="N50" s="2519"/>
      <c r="O50" s="2519"/>
      <c r="P50" s="2507"/>
      <c r="Q50" s="2507"/>
      <c r="R50" s="2438"/>
      <c r="S50" s="2438"/>
      <c r="T50" s="2438"/>
      <c r="U50" s="2438"/>
      <c r="V50" s="2438"/>
      <c r="W50" s="2438"/>
      <c r="X50" s="2438"/>
      <c r="Y50" s="2438"/>
      <c r="Z50" s="2438"/>
      <c r="AA50" s="2438"/>
      <c r="AB50" s="2438"/>
      <c r="AC50" s="2438"/>
      <c r="AD50" s="2438"/>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5.7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7.7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5.7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5.7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5.7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5.7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5.7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5.7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5.7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7.7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7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5.7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7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7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5.7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5.75" thickTop="1">
      <c r="A71" s="370"/>
      <c r="B71" s="469">
        <f>B23</f>
        <v>111</v>
      </c>
      <c r="C71" s="480"/>
      <c r="D71" s="480"/>
      <c r="E71" s="480"/>
      <c r="F71" s="480"/>
      <c r="G71" s="485"/>
      <c r="H71" s="485"/>
      <c r="I71" s="485"/>
      <c r="J71" s="485"/>
      <c r="K71" s="485"/>
      <c r="L71" s="510"/>
      <c r="M71" s="511"/>
      <c r="N71" s="2519"/>
      <c r="O71" s="2519"/>
      <c r="P71" s="2519"/>
      <c r="Q71" s="2507"/>
      <c r="R71" s="2438"/>
      <c r="S71" s="2438"/>
      <c r="T71" s="2438"/>
      <c r="U71" s="2438"/>
      <c r="V71" s="2438"/>
      <c r="W71" s="2438"/>
      <c r="X71" s="2438"/>
      <c r="Y71" s="2438"/>
      <c r="Z71" s="2438"/>
      <c r="AA71" s="2438"/>
      <c r="AB71" s="2438"/>
      <c r="AC71" s="2438"/>
      <c r="AD71" s="2438"/>
    </row>
    <row r="72" spans="1:30" s="102" customFormat="1" ht="15.75" thickBot="1">
      <c r="A72" s="370"/>
      <c r="B72" s="474"/>
      <c r="C72" s="491"/>
      <c r="D72" s="467"/>
      <c r="E72" s="467"/>
      <c r="F72" s="467"/>
      <c r="G72" s="467"/>
      <c r="H72" s="467"/>
      <c r="I72" s="467"/>
      <c r="J72" s="467"/>
      <c r="K72" s="467"/>
      <c r="L72" s="467"/>
      <c r="M72" s="468"/>
      <c r="N72" s="2521"/>
      <c r="O72" s="2521"/>
      <c r="P72" s="2519"/>
      <c r="Q72" s="2507"/>
      <c r="R72" s="2438"/>
      <c r="S72" s="2438"/>
      <c r="T72" s="2438"/>
      <c r="U72" s="2438"/>
      <c r="V72" s="2438"/>
      <c r="W72" s="2438"/>
      <c r="X72" s="2438"/>
      <c r="Y72" s="2438"/>
      <c r="Z72" s="2438"/>
      <c r="AA72" s="2438"/>
      <c r="AB72" s="2438"/>
      <c r="AC72" s="2438"/>
      <c r="AD72" s="2438"/>
    </row>
    <row r="73" spans="1:30" s="102" customFormat="1" ht="15.75" thickTop="1">
      <c r="A73" s="370"/>
      <c r="B73" s="469">
        <f>B24</f>
        <v>111</v>
      </c>
      <c r="C73" s="480"/>
      <c r="D73" s="480"/>
      <c r="E73" s="480"/>
      <c r="F73" s="480"/>
      <c r="G73" s="485"/>
      <c r="H73" s="485"/>
      <c r="I73" s="485"/>
      <c r="J73" s="485"/>
      <c r="K73" s="485"/>
      <c r="L73" s="485"/>
      <c r="M73" s="511"/>
      <c r="N73" s="2519"/>
      <c r="O73" s="2519"/>
      <c r="P73" s="2519"/>
      <c r="Q73" s="2507"/>
      <c r="R73" s="2438"/>
      <c r="S73" s="2438"/>
      <c r="T73" s="2438"/>
      <c r="U73" s="2438"/>
      <c r="V73" s="2438"/>
      <c r="W73" s="2438"/>
      <c r="X73" s="2438"/>
      <c r="Y73" s="2438"/>
      <c r="Z73" s="2438"/>
      <c r="AA73" s="2438"/>
      <c r="AB73" s="2438"/>
      <c r="AC73" s="2438"/>
      <c r="AD73" s="2438"/>
    </row>
    <row r="74" spans="1:30" s="102" customFormat="1" ht="15.75" thickBot="1">
      <c r="A74" s="370"/>
      <c r="B74" s="474"/>
      <c r="C74" s="491"/>
      <c r="D74" s="467"/>
      <c r="E74" s="467"/>
      <c r="F74" s="467"/>
      <c r="G74" s="467"/>
      <c r="H74" s="467"/>
      <c r="I74" s="467"/>
      <c r="J74" s="467"/>
      <c r="K74" s="467"/>
      <c r="L74" s="467"/>
      <c r="M74" s="468"/>
      <c r="N74" s="2521"/>
      <c r="O74" s="2521"/>
      <c r="P74" s="2519"/>
      <c r="Q74" s="2507"/>
      <c r="R74" s="2438"/>
      <c r="S74" s="2438"/>
      <c r="T74" s="2438"/>
      <c r="U74" s="2438"/>
      <c r="V74" s="2438"/>
      <c r="W74" s="2438"/>
      <c r="X74" s="2438"/>
      <c r="Y74" s="2438"/>
      <c r="Z74" s="2438"/>
      <c r="AA74" s="2438"/>
      <c r="AB74" s="2438"/>
      <c r="AC74" s="2438"/>
      <c r="AD74" s="2438"/>
    </row>
    <row r="75" spans="1:30" s="408" customFormat="1" ht="15.7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5.7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7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ht="15">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5.7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5.7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5.7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5.7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5.7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62" priority="13" stopIfTrue="1">
      <formula>$F$40="超过30%"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F7:F34 H7:H34 J7:J34">
    <cfRule type="cellIs" dxfId="59" priority="1" operator="notEqual">
      <formula>100</formula>
    </cfRule>
  </conditionalFormatting>
  <conditionalFormatting sqref="F36">
    <cfRule type="expression" dxfId="58" priority="4">
      <formula>$D$36="简单平均"</formula>
    </cfRule>
  </conditionalFormatting>
  <conditionalFormatting sqref="F40:F42 H40:H42 J40:J42">
    <cfRule type="containsText" dxfId="57" priority="14" stopIfTrue="1" operator="containsText" text="超过">
      <formula>NOT(ISERROR(SEARCH("超过",F40)))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G42">
    <cfRule type="expression" dxfId="54" priority="12" stopIfTrue="1">
      <formula>$H$54+$H$42="超过30%"</formula>
    </cfRule>
  </conditionalFormatting>
  <conditionalFormatting sqref="H36">
    <cfRule type="expression" dxfId="53" priority="3">
      <formula>$D$36="简单平均"</formula>
    </cfRule>
  </conditionalFormatting>
  <conditionalFormatting sqref="I40">
    <cfRule type="expression" dxfId="52" priority="7" stopIfTrue="1">
      <formula>$J$40="超过30%"</formula>
    </cfRule>
  </conditionalFormatting>
  <conditionalFormatting sqref="I41">
    <cfRule type="expression" dxfId="51" priority="6" stopIfTrue="1">
      <formula>$J$41="超过20%"</formula>
    </cfRule>
  </conditionalFormatting>
  <conditionalFormatting sqref="I42">
    <cfRule type="expression" dxfId="50" priority="5" stopIfTrue="1">
      <formula>$J$42="超过30%"</formula>
    </cfRule>
  </conditionalFormatting>
  <conditionalFormatting sqref="J36">
    <cfRule type="expression" dxfId="49"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5"/>
      <c r="M4" s="2486"/>
      <c r="N4" s="2486"/>
      <c r="O4" s="2486"/>
      <c r="P4" s="3416" t="s">
        <v>1775</v>
      </c>
      <c r="Q4" s="3417"/>
      <c r="R4" s="3398" t="s">
        <v>1771</v>
      </c>
      <c r="S4" s="3399"/>
      <c r="T4" s="3398" t="s">
        <v>1772</v>
      </c>
      <c r="U4" s="3399"/>
      <c r="V4" s="3424" t="s">
        <v>1773</v>
      </c>
      <c r="W4" s="3424"/>
      <c r="X4" s="1265"/>
      <c r="Y4" s="3398" t="s">
        <v>1775</v>
      </c>
      <c r="Z4" s="3399"/>
      <c r="AA4" s="3393" t="s">
        <v>1771</v>
      </c>
      <c r="AB4" s="3394" t="s">
        <v>1772</v>
      </c>
      <c r="AC4" s="3393" t="s">
        <v>1773</v>
      </c>
    </row>
    <row r="5" spans="1:29" ht="15">
      <c r="A5" s="348"/>
      <c r="B5" s="349"/>
      <c r="C5" s="3408" t="s">
        <v>1673</v>
      </c>
      <c r="D5" s="3405"/>
      <c r="E5" s="3402" t="s">
        <v>1674</v>
      </c>
      <c r="F5" s="3403"/>
      <c r="G5" s="3408" t="s">
        <v>1675</v>
      </c>
      <c r="H5" s="3405"/>
      <c r="I5" s="3408" t="s">
        <v>1676</v>
      </c>
      <c r="J5" s="3405"/>
      <c r="K5" s="537"/>
      <c r="L5" s="2485"/>
      <c r="M5" s="2486"/>
      <c r="N5" s="2486"/>
      <c r="O5" s="2486"/>
      <c r="P5" s="3418"/>
      <c r="Q5" s="3419"/>
      <c r="R5" s="3400"/>
      <c r="S5" s="3401"/>
      <c r="T5" s="3400"/>
      <c r="U5" s="3401"/>
      <c r="V5" s="3424"/>
      <c r="W5" s="3424"/>
      <c r="X5" s="1265"/>
      <c r="Y5" s="3400"/>
      <c r="Z5" s="3401"/>
      <c r="AA5" s="3394"/>
      <c r="AB5" s="3394"/>
      <c r="AC5" s="3394"/>
    </row>
    <row r="6" spans="1:29" ht="15.75" thickBot="1">
      <c r="A6" s="350"/>
      <c r="B6" s="351"/>
      <c r="C6" s="3406" t="s">
        <v>1677</v>
      </c>
      <c r="D6" s="3407"/>
      <c r="E6" s="3409" t="s">
        <v>1677</v>
      </c>
      <c r="F6" s="3410"/>
      <c r="G6" s="3406" t="s">
        <v>1677</v>
      </c>
      <c r="H6" s="3407"/>
      <c r="I6" s="3406" t="s">
        <v>1677</v>
      </c>
      <c r="J6" s="3407"/>
      <c r="K6" s="537" t="s">
        <v>1678</v>
      </c>
      <c r="L6" s="2485"/>
      <c r="M6" s="2486"/>
      <c r="N6" s="2486"/>
      <c r="O6" s="2486"/>
      <c r="P6" s="3420"/>
      <c r="Q6" s="3421"/>
      <c r="R6" s="3400"/>
      <c r="S6" s="3401"/>
      <c r="T6" s="3422"/>
      <c r="U6" s="3423"/>
      <c r="V6" s="3424"/>
      <c r="W6" s="3424"/>
      <c r="X6" s="1265"/>
      <c r="Y6" s="3422"/>
      <c r="Z6" s="3423"/>
      <c r="AA6" s="3395"/>
      <c r="AB6" s="3395"/>
      <c r="AC6" s="3395"/>
    </row>
    <row r="7" spans="1:29" s="102" customFormat="1" ht="15.75" thickBot="1">
      <c r="A7" s="352" t="s">
        <v>1679</v>
      </c>
      <c r="B7" s="353"/>
      <c r="C7" s="354">
        <f>'数据-取费表'!B2</f>
        <v>46015</v>
      </c>
      <c r="D7" s="355">
        <v>100</v>
      </c>
      <c r="E7" s="356"/>
      <c r="F7" s="357">
        <f>SUMIF(69:69,YEAR(E7)&amp;"-"&amp;INT((MONTH(E7)+2)/3),70:70)</f>
        <v>0</v>
      </c>
      <c r="G7" s="1820"/>
      <c r="H7" s="355">
        <f>SUMIF(69:69,YEAR(G7)&amp;"-"&amp;INT((MONTH(G7)+2)/3),70:70)</f>
        <v>0</v>
      </c>
      <c r="I7" s="1820"/>
      <c r="J7" s="355">
        <f>SUMIF(69:69,YEAR(I7)&amp;"-"&amp;INT((MONTH(I7)+2)/3),70:70)</f>
        <v>0</v>
      </c>
      <c r="K7" s="38"/>
      <c r="L7" s="2487"/>
      <c r="M7" s="2438"/>
      <c r="N7" s="2438"/>
      <c r="O7" s="2438"/>
      <c r="P7" s="3396" t="s">
        <v>1680</v>
      </c>
      <c r="Q7" s="3425"/>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8"/>
      <c r="N8" s="2438"/>
      <c r="O8" s="2438"/>
      <c r="P8" s="3396" t="s">
        <v>1683</v>
      </c>
      <c r="Q8" s="3397"/>
      <c r="R8" s="664" t="s">
        <v>14</v>
      </c>
      <c r="S8" s="665">
        <f t="shared" si="0"/>
        <v>0</v>
      </c>
      <c r="T8" s="664" t="s">
        <v>14</v>
      </c>
      <c r="U8" s="665">
        <f t="shared" si="1"/>
        <v>0</v>
      </c>
      <c r="V8" s="664" t="s">
        <v>14</v>
      </c>
      <c r="W8" s="665">
        <f t="shared" si="2"/>
        <v>0</v>
      </c>
      <c r="X8" s="666"/>
      <c r="Y8" s="3396" t="s">
        <v>1683</v>
      </c>
      <c r="Z8" s="3397"/>
      <c r="AA8" s="50" t="e">
        <f t="shared" ref="AA8:AA45" si="3">D8/F8</f>
        <v>#DIV/0!</v>
      </c>
      <c r="AB8" s="50" t="e">
        <f t="shared" ref="AB8:AB45" si="4">D8/H8</f>
        <v>#DIV/0!</v>
      </c>
      <c r="AC8" s="50" t="e">
        <f t="shared" ref="AC8:AC45" si="5">D8/J8</f>
        <v>#DIV/0!</v>
      </c>
    </row>
    <row r="9" spans="1:29" s="102" customFormat="1">
      <c r="A9" s="359" t="s">
        <v>1684</v>
      </c>
      <c r="B9" s="60" t="s">
        <v>1685</v>
      </c>
      <c r="C9" s="1823"/>
      <c r="D9" s="59">
        <v>100</v>
      </c>
      <c r="E9" s="1823"/>
      <c r="F9" s="59">
        <f>SUMIF(74:74,E9,75:75)-SUMIF(74:74,C9,75:75)+100</f>
        <v>100</v>
      </c>
      <c r="G9" s="1823"/>
      <c r="H9" s="59">
        <f>SUMIF(74:74,G9,75:75)-SUMIF(74:74,C9,75:75)+100</f>
        <v>100</v>
      </c>
      <c r="I9" s="1823"/>
      <c r="J9" s="59">
        <f>SUMIF(74:74,I9,75:75)-SUMIF(74:74,C9,75:75)+100</f>
        <v>100</v>
      </c>
      <c r="K9" s="38"/>
      <c r="L9" s="2487"/>
      <c r="M9" s="2438"/>
      <c r="N9" s="2438"/>
      <c r="O9" s="2539"/>
      <c r="P9" s="3429"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146</v>
      </c>
      <c r="G10" s="402"/>
      <c r="H10" s="119">
        <f>ROUND(100/'数据-取费表'!G16,0)</f>
        <v>146</v>
      </c>
      <c r="I10" s="402"/>
      <c r="J10" s="119">
        <f>ROUND(100/'数据-取费表'!G16,0)</f>
        <v>146</v>
      </c>
      <c r="K10" s="592"/>
      <c r="L10" s="2488"/>
      <c r="M10" s="2489"/>
      <c r="N10" s="2489"/>
      <c r="O10" s="2540"/>
      <c r="P10" s="3429"/>
      <c r="Q10" s="530" t="str">
        <f t="shared" si="6"/>
        <v>土地使用年限（年）</v>
      </c>
      <c r="R10" s="664" t="s">
        <v>14</v>
      </c>
      <c r="S10" s="665">
        <f t="shared" si="0"/>
        <v>146</v>
      </c>
      <c r="T10" s="664" t="s">
        <v>14</v>
      </c>
      <c r="U10" s="665">
        <f t="shared" si="1"/>
        <v>146</v>
      </c>
      <c r="V10" s="664" t="s">
        <v>14</v>
      </c>
      <c r="W10" s="665">
        <f t="shared" si="2"/>
        <v>146</v>
      </c>
      <c r="X10" s="666"/>
      <c r="Y10" s="3340"/>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29"/>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8"/>
      <c r="N12" s="2438"/>
      <c r="O12" s="2539"/>
      <c r="P12" s="3429"/>
      <c r="Q12" s="530" t="str">
        <f t="shared" si="6"/>
        <v>配建</v>
      </c>
      <c r="R12" s="664" t="s">
        <v>14</v>
      </c>
      <c r="S12" s="665">
        <f t="shared" si="0"/>
        <v>100</v>
      </c>
      <c r="T12" s="664" t="s">
        <v>14</v>
      </c>
      <c r="U12" s="665">
        <f t="shared" si="1"/>
        <v>100</v>
      </c>
      <c r="V12" s="664" t="s">
        <v>14</v>
      </c>
      <c r="W12" s="665">
        <f t="shared" si="2"/>
        <v>100</v>
      </c>
      <c r="X12" s="666"/>
      <c r="Y12" s="3340"/>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29"/>
      <c r="Q13" s="530">
        <f t="shared" si="6"/>
        <v>111</v>
      </c>
      <c r="R13" s="664" t="s">
        <v>14</v>
      </c>
      <c r="S13" s="665">
        <f t="shared" si="0"/>
        <v>100</v>
      </c>
      <c r="T13" s="664" t="s">
        <v>14</v>
      </c>
      <c r="U13" s="665">
        <f t="shared" si="1"/>
        <v>100</v>
      </c>
      <c r="V13" s="664" t="s">
        <v>14</v>
      </c>
      <c r="W13" s="665">
        <f t="shared" si="2"/>
        <v>100</v>
      </c>
      <c r="X13" s="666"/>
      <c r="Y13" s="3340"/>
      <c r="Z13" s="50">
        <f t="shared" si="7"/>
        <v>111</v>
      </c>
      <c r="AA13" s="50">
        <f>D13/F13</f>
        <v>1</v>
      </c>
      <c r="AB13" s="50">
        <f>D13/H13</f>
        <v>1</v>
      </c>
      <c r="AC13" s="50">
        <f>D13/J13</f>
        <v>1</v>
      </c>
    </row>
    <row r="14" spans="1:29" ht="15.75"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29"/>
      <c r="Q14" s="530">
        <f t="shared" si="6"/>
        <v>111</v>
      </c>
      <c r="R14" s="664" t="s">
        <v>14</v>
      </c>
      <c r="S14" s="665">
        <f t="shared" si="0"/>
        <v>100</v>
      </c>
      <c r="T14" s="664" t="s">
        <v>14</v>
      </c>
      <c r="U14" s="665">
        <f t="shared" si="1"/>
        <v>100</v>
      </c>
      <c r="V14" s="664" t="s">
        <v>14</v>
      </c>
      <c r="W14" s="665">
        <f t="shared" si="2"/>
        <v>100</v>
      </c>
      <c r="X14" s="666"/>
      <c r="Y14" s="3340"/>
      <c r="Z14" s="50">
        <f t="shared" si="7"/>
        <v>111</v>
      </c>
      <c r="AA14" s="50">
        <f>D14/F14</f>
        <v>1</v>
      </c>
      <c r="AB14" s="50">
        <f>D14/H14</f>
        <v>1</v>
      </c>
      <c r="AC14" s="50">
        <f>D14/J14</f>
        <v>1</v>
      </c>
    </row>
    <row r="15" spans="1:29" ht="99.75">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30" t="s">
        <v>1691</v>
      </c>
      <c r="Q15" s="1263" t="str">
        <f t="shared" si="6"/>
        <v>居住社区成熟度</v>
      </c>
      <c r="R15" s="667" t="s">
        <v>14</v>
      </c>
      <c r="S15" s="668">
        <f t="shared" si="0"/>
        <v>100</v>
      </c>
      <c r="T15" s="667" t="s">
        <v>14</v>
      </c>
      <c r="U15" s="668">
        <f t="shared" si="1"/>
        <v>100</v>
      </c>
      <c r="V15" s="667" t="s">
        <v>14</v>
      </c>
      <c r="W15" s="668">
        <f t="shared" si="2"/>
        <v>100</v>
      </c>
      <c r="X15" s="1265"/>
      <c r="Y15" s="3430"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431"/>
      <c r="Q16" s="1263"/>
      <c r="R16" s="667"/>
      <c r="S16" s="668"/>
      <c r="T16" s="667"/>
      <c r="U16" s="668"/>
      <c r="V16" s="667"/>
      <c r="W16" s="668"/>
      <c r="X16" s="1265"/>
      <c r="Y16" s="3431"/>
      <c r="Z16" s="1264"/>
      <c r="AA16" s="1264">
        <v>1</v>
      </c>
      <c r="AB16" s="1264">
        <v>1</v>
      </c>
      <c r="AC16" s="1264">
        <v>1</v>
      </c>
    </row>
    <row r="17" spans="1:29" ht="71.25">
      <c r="A17" s="367"/>
      <c r="B17" s="390" t="s">
        <v>1777</v>
      </c>
      <c r="C17" s="1804"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31"/>
      <c r="Q17" s="1263" t="str">
        <f>B17</f>
        <v>商业繁华度</v>
      </c>
      <c r="R17" s="667" t="s">
        <v>14</v>
      </c>
      <c r="S17" s="668">
        <f>F17</f>
        <v>100</v>
      </c>
      <c r="T17" s="667" t="s">
        <v>14</v>
      </c>
      <c r="U17" s="668">
        <f>H17</f>
        <v>100</v>
      </c>
      <c r="V17" s="667" t="s">
        <v>14</v>
      </c>
      <c r="W17" s="668">
        <f>J17</f>
        <v>100</v>
      </c>
      <c r="X17" s="1265"/>
      <c r="Y17" s="3431"/>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431"/>
      <c r="Q18" s="1263"/>
      <c r="R18" s="667"/>
      <c r="S18" s="668"/>
      <c r="T18" s="667"/>
      <c r="U18" s="668"/>
      <c r="V18" s="667"/>
      <c r="W18" s="668"/>
      <c r="X18" s="1265"/>
      <c r="Y18" s="3431"/>
      <c r="Z18" s="1264"/>
      <c r="AA18" s="1264">
        <v>1</v>
      </c>
      <c r="AB18" s="1264">
        <v>1</v>
      </c>
      <c r="AC18" s="1264">
        <v>1</v>
      </c>
    </row>
    <row r="19" spans="1:29" ht="71.25">
      <c r="A19" s="367"/>
      <c r="B19" s="390" t="s">
        <v>1811</v>
      </c>
      <c r="C19" s="1804"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31"/>
      <c r="Q19" s="1263" t="str">
        <f>B19</f>
        <v>办公集聚程度</v>
      </c>
      <c r="R19" s="667" t="s">
        <v>14</v>
      </c>
      <c r="S19" s="668">
        <f>F19</f>
        <v>100</v>
      </c>
      <c r="T19" s="667" t="s">
        <v>14</v>
      </c>
      <c r="U19" s="668">
        <f>H19</f>
        <v>100</v>
      </c>
      <c r="V19" s="667" t="s">
        <v>14</v>
      </c>
      <c r="W19" s="668">
        <f>J19</f>
        <v>100</v>
      </c>
      <c r="X19" s="1265"/>
      <c r="Y19" s="3431"/>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431"/>
      <c r="Q20" s="1263"/>
      <c r="R20" s="667"/>
      <c r="S20" s="668"/>
      <c r="T20" s="667"/>
      <c r="U20" s="668"/>
      <c r="V20" s="667"/>
      <c r="W20" s="668"/>
      <c r="X20" s="1265"/>
      <c r="Y20" s="3431"/>
      <c r="Z20" s="1264"/>
      <c r="AA20" s="1264">
        <v>1</v>
      </c>
      <c r="AB20" s="1264">
        <v>1</v>
      </c>
      <c r="AC20" s="1264">
        <v>1</v>
      </c>
    </row>
    <row r="21" spans="1:29" ht="85.5">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31"/>
      <c r="Q21" s="1263" t="str">
        <f>B21</f>
        <v>交通便捷度</v>
      </c>
      <c r="R21" s="667" t="s">
        <v>14</v>
      </c>
      <c r="S21" s="668">
        <f>F21</f>
        <v>100</v>
      </c>
      <c r="T21" s="667" t="s">
        <v>14</v>
      </c>
      <c r="U21" s="668">
        <f>H21</f>
        <v>100</v>
      </c>
      <c r="V21" s="667" t="s">
        <v>14</v>
      </c>
      <c r="W21" s="668">
        <f>J21</f>
        <v>100</v>
      </c>
      <c r="X21" s="1265"/>
      <c r="Y21" s="3431"/>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431"/>
      <c r="Q22" s="1263"/>
      <c r="R22" s="667"/>
      <c r="S22" s="668"/>
      <c r="T22" s="667"/>
      <c r="U22" s="668"/>
      <c r="V22" s="667"/>
      <c r="W22" s="668"/>
      <c r="X22" s="1265"/>
      <c r="Y22" s="3431"/>
      <c r="Z22" s="1264"/>
      <c r="AA22" s="1264">
        <v>1</v>
      </c>
      <c r="AB22" s="1264">
        <v>1</v>
      </c>
      <c r="AC22" s="1264">
        <v>1</v>
      </c>
    </row>
    <row r="23" spans="1:29" ht="15">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31"/>
      <c r="Q23" s="1263" t="str">
        <f t="shared" ref="Q23:Q37" si="8">B23</f>
        <v>区域土地利用方向</v>
      </c>
      <c r="R23" s="667" t="s">
        <v>14</v>
      </c>
      <c r="S23" s="668">
        <f>F23</f>
        <v>100</v>
      </c>
      <c r="T23" s="667" t="s">
        <v>14</v>
      </c>
      <c r="U23" s="668">
        <f>H23</f>
        <v>100</v>
      </c>
      <c r="V23" s="667" t="s">
        <v>14</v>
      </c>
      <c r="W23" s="668">
        <f>J23</f>
        <v>100</v>
      </c>
      <c r="X23" s="1265"/>
      <c r="Y23" s="3431"/>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431"/>
      <c r="Q24" s="1263"/>
      <c r="R24" s="667"/>
      <c r="S24" s="668"/>
      <c r="T24" s="667"/>
      <c r="U24" s="668"/>
      <c r="V24" s="667"/>
      <c r="W24" s="668"/>
      <c r="X24" s="1265"/>
      <c r="Y24" s="3431"/>
      <c r="Z24" s="1264"/>
      <c r="AA24" s="1264"/>
      <c r="AB24" s="1264"/>
      <c r="AC24" s="1264"/>
    </row>
    <row r="25" spans="1:29" ht="57">
      <c r="A25" s="348"/>
      <c r="B25" s="586" t="s">
        <v>1872</v>
      </c>
      <c r="C25" s="1804"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31"/>
      <c r="Q25" s="1263" t="str">
        <f t="shared" si="8"/>
        <v>自然及人文环境状况</v>
      </c>
      <c r="R25" s="667" t="s">
        <v>14</v>
      </c>
      <c r="S25" s="668">
        <f>F25</f>
        <v>100</v>
      </c>
      <c r="T25" s="667" t="s">
        <v>14</v>
      </c>
      <c r="U25" s="668">
        <f>H25</f>
        <v>100</v>
      </c>
      <c r="V25" s="667" t="s">
        <v>14</v>
      </c>
      <c r="W25" s="668">
        <f>J25</f>
        <v>100</v>
      </c>
      <c r="X25" s="1265"/>
      <c r="Y25" s="3431"/>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431"/>
      <c r="Q26" s="1263"/>
      <c r="R26" s="667"/>
      <c r="S26" s="668"/>
      <c r="T26" s="667"/>
      <c r="U26" s="668"/>
      <c r="V26" s="667"/>
      <c r="W26" s="668"/>
      <c r="X26" s="1265"/>
      <c r="Y26" s="3431"/>
      <c r="Z26" s="1264"/>
      <c r="AA26" s="1264">
        <v>1</v>
      </c>
      <c r="AB26" s="1264">
        <v>1</v>
      </c>
      <c r="AC26" s="1264">
        <v>1</v>
      </c>
    </row>
    <row r="27" spans="1:29" s="102" customFormat="1" ht="42.75">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8"/>
      <c r="N27" s="2438"/>
      <c r="O27" s="2539"/>
      <c r="P27" s="3431"/>
      <c r="Q27" s="530" t="str">
        <f t="shared" si="8"/>
        <v>公共配套设施</v>
      </c>
      <c r="R27" s="664" t="s">
        <v>14</v>
      </c>
      <c r="S27" s="665">
        <f>F27</f>
        <v>100</v>
      </c>
      <c r="T27" s="664" t="s">
        <v>14</v>
      </c>
      <c r="U27" s="665">
        <f>H27</f>
        <v>100</v>
      </c>
      <c r="V27" s="664" t="s">
        <v>14</v>
      </c>
      <c r="W27" s="665">
        <f>J27</f>
        <v>100</v>
      </c>
      <c r="X27" s="666"/>
      <c r="Y27" s="3431"/>
      <c r="Z27" s="50" t="str">
        <f>Q27</f>
        <v>公共配套设施</v>
      </c>
      <c r="AA27" s="1264">
        <f>D27/F27</f>
        <v>1</v>
      </c>
      <c r="AB27" s="1264">
        <f>D27/H27</f>
        <v>1</v>
      </c>
      <c r="AC27" s="1264">
        <f>D27/J27</f>
        <v>1</v>
      </c>
    </row>
    <row r="28" spans="1:29" s="102" customFormat="1" ht="15">
      <c r="A28" s="443"/>
      <c r="B28" s="395"/>
      <c r="C28" s="1824"/>
      <c r="D28" s="387"/>
      <c r="E28" s="1758"/>
      <c r="F28" s="387"/>
      <c r="G28" s="1758"/>
      <c r="H28" s="387"/>
      <c r="I28" s="386"/>
      <c r="J28" s="387"/>
      <c r="K28" s="592"/>
      <c r="L28" s="2487"/>
      <c r="M28" s="2438"/>
      <c r="N28" s="2438"/>
      <c r="O28" s="2539"/>
      <c r="P28" s="3431"/>
      <c r="Q28" s="530"/>
      <c r="R28" s="664"/>
      <c r="S28" s="665"/>
      <c r="T28" s="664"/>
      <c r="U28" s="665"/>
      <c r="V28" s="664"/>
      <c r="W28" s="665"/>
      <c r="X28" s="666"/>
      <c r="Y28" s="3431"/>
      <c r="Z28" s="50"/>
      <c r="AA28" s="1264">
        <v>1</v>
      </c>
      <c r="AB28" s="1264">
        <v>1</v>
      </c>
      <c r="AC28" s="1264">
        <v>1</v>
      </c>
    </row>
    <row r="29" spans="1:29" s="102" customFormat="1" ht="28.5">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8"/>
      <c r="N29" s="2438"/>
      <c r="O29" s="2539"/>
      <c r="P29" s="3431"/>
      <c r="Q29" s="530" t="str">
        <f t="shared" ref="Q29" si="9">B29</f>
        <v>基础设施水平</v>
      </c>
      <c r="R29" s="664" t="s">
        <v>14</v>
      </c>
      <c r="S29" s="665">
        <f>F29</f>
        <v>100</v>
      </c>
      <c r="T29" s="664" t="s">
        <v>14</v>
      </c>
      <c r="U29" s="665">
        <f>H29</f>
        <v>100</v>
      </c>
      <c r="V29" s="664" t="s">
        <v>14</v>
      </c>
      <c r="W29" s="665">
        <f>J29</f>
        <v>100</v>
      </c>
      <c r="X29" s="666"/>
      <c r="Y29" s="3431"/>
      <c r="Z29" s="50" t="str">
        <f>Q29</f>
        <v>基础设施水平</v>
      </c>
      <c r="AA29" s="1264">
        <f>D29/F29</f>
        <v>1</v>
      </c>
      <c r="AB29" s="1264">
        <f>D29/H29</f>
        <v>1</v>
      </c>
      <c r="AC29" s="1264">
        <f>D29/J29</f>
        <v>1</v>
      </c>
    </row>
    <row r="30" spans="1:29" s="102" customFormat="1" ht="15">
      <c r="A30" s="443"/>
      <c r="B30" s="395"/>
      <c r="C30" s="1824"/>
      <c r="D30" s="387"/>
      <c r="E30" s="1825"/>
      <c r="F30" s="387"/>
      <c r="G30" s="1825"/>
      <c r="H30" s="387"/>
      <c r="I30" s="1825"/>
      <c r="J30" s="387"/>
      <c r="K30" s="592"/>
      <c r="L30" s="2487"/>
      <c r="M30" s="2438"/>
      <c r="N30" s="2438"/>
      <c r="O30" s="2539"/>
      <c r="P30" s="3431"/>
      <c r="Q30" s="530"/>
      <c r="R30" s="664"/>
      <c r="S30" s="665"/>
      <c r="T30" s="664"/>
      <c r="U30" s="665"/>
      <c r="V30" s="664"/>
      <c r="W30" s="665"/>
      <c r="X30" s="666"/>
      <c r="Y30" s="3431"/>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31"/>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31"/>
      <c r="Z31" s="1264" t="str">
        <f t="shared" ref="Z31:Z45" si="13">Q31</f>
        <v>临街状况</v>
      </c>
      <c r="AA31" s="1264">
        <f t="shared" si="3"/>
        <v>1</v>
      </c>
      <c r="AB31" s="1264">
        <f t="shared" si="4"/>
        <v>1</v>
      </c>
      <c r="AC31" s="1264">
        <f t="shared" si="5"/>
        <v>1</v>
      </c>
    </row>
    <row r="32" spans="1:29" ht="27">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31"/>
      <c r="Q32" s="1263" t="str">
        <f t="shared" si="8"/>
        <v>毗邻道路的类型与等级</v>
      </c>
      <c r="R32" s="667" t="s">
        <v>14</v>
      </c>
      <c r="S32" s="668">
        <f t="shared" si="10"/>
        <v>100</v>
      </c>
      <c r="T32" s="667" t="s">
        <v>14</v>
      </c>
      <c r="U32" s="668">
        <f t="shared" si="11"/>
        <v>100</v>
      </c>
      <c r="V32" s="667" t="s">
        <v>14</v>
      </c>
      <c r="W32" s="668">
        <f t="shared" si="12"/>
        <v>100</v>
      </c>
      <c r="X32" s="1265"/>
      <c r="Y32" s="3431"/>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431"/>
      <c r="Q33" s="1263"/>
      <c r="R33" s="667"/>
      <c r="S33" s="668"/>
      <c r="T33" s="667"/>
      <c r="U33" s="668"/>
      <c r="V33" s="667"/>
      <c r="W33" s="668"/>
      <c r="X33" s="1265"/>
      <c r="Y33" s="3431"/>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31"/>
      <c r="Q34" s="1263" t="str">
        <f t="shared" si="8"/>
        <v>土地级别</v>
      </c>
      <c r="R34" s="667" t="s">
        <v>14</v>
      </c>
      <c r="S34" s="668">
        <f t="shared" si="10"/>
        <v>100</v>
      </c>
      <c r="T34" s="667" t="s">
        <v>14</v>
      </c>
      <c r="U34" s="668">
        <f t="shared" si="11"/>
        <v>100</v>
      </c>
      <c r="V34" s="667" t="s">
        <v>14</v>
      </c>
      <c r="W34" s="668">
        <f t="shared" si="12"/>
        <v>100</v>
      </c>
      <c r="X34" s="1265"/>
      <c r="Y34" s="3431"/>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31"/>
      <c r="Q35" s="1263">
        <f t="shared" si="8"/>
        <v>111</v>
      </c>
      <c r="R35" s="667" t="s">
        <v>14</v>
      </c>
      <c r="S35" s="668">
        <f t="shared" si="10"/>
        <v>100</v>
      </c>
      <c r="T35" s="667" t="s">
        <v>14</v>
      </c>
      <c r="U35" s="668">
        <f t="shared" si="11"/>
        <v>100</v>
      </c>
      <c r="V35" s="667" t="s">
        <v>14</v>
      </c>
      <c r="W35" s="668">
        <f t="shared" si="12"/>
        <v>100</v>
      </c>
      <c r="X35" s="1265"/>
      <c r="Y35" s="3431"/>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4" t="s">
        <v>1696</v>
      </c>
      <c r="Q36" s="1263">
        <f t="shared" si="8"/>
        <v>111</v>
      </c>
      <c r="R36" s="667" t="s">
        <v>14</v>
      </c>
      <c r="S36" s="668">
        <f t="shared" si="10"/>
        <v>100</v>
      </c>
      <c r="T36" s="667" t="s">
        <v>14</v>
      </c>
      <c r="U36" s="668">
        <f t="shared" si="11"/>
        <v>100</v>
      </c>
      <c r="V36" s="667" t="s">
        <v>14</v>
      </c>
      <c r="W36" s="668">
        <f t="shared" si="12"/>
        <v>100</v>
      </c>
      <c r="X36" s="1265"/>
      <c r="Y36" s="3435" t="s">
        <v>1696</v>
      </c>
      <c r="Z36" s="1264">
        <f t="shared" si="13"/>
        <v>111</v>
      </c>
      <c r="AA36" s="1264">
        <f t="shared" si="3"/>
        <v>1</v>
      </c>
      <c r="AB36" s="1264">
        <f t="shared" si="4"/>
        <v>1</v>
      </c>
      <c r="AC36" s="1264">
        <f t="shared" si="5"/>
        <v>1</v>
      </c>
    </row>
    <row r="37" spans="1:29" s="408" customFormat="1" ht="15.75"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35"/>
      <c r="Q37" s="1263">
        <f t="shared" si="8"/>
        <v>111</v>
      </c>
      <c r="R37" s="669" t="s">
        <v>14</v>
      </c>
      <c r="S37" s="670">
        <f t="shared" si="10"/>
        <v>100</v>
      </c>
      <c r="T37" s="669" t="s">
        <v>14</v>
      </c>
      <c r="U37" s="670">
        <f t="shared" si="11"/>
        <v>100</v>
      </c>
      <c r="V37" s="669" t="s">
        <v>14</v>
      </c>
      <c r="W37" s="670">
        <f t="shared" si="12"/>
        <v>100</v>
      </c>
      <c r="X37" s="671"/>
      <c r="Y37" s="3435"/>
      <c r="Z37" s="672">
        <f t="shared" si="13"/>
        <v>111</v>
      </c>
      <c r="AA37" s="1264">
        <f t="shared" si="3"/>
        <v>1</v>
      </c>
      <c r="AB37" s="1264">
        <f t="shared" si="4"/>
        <v>1</v>
      </c>
      <c r="AC37" s="1264">
        <f t="shared" si="5"/>
        <v>1</v>
      </c>
    </row>
    <row r="38" spans="1:29" ht="1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35"/>
      <c r="Q38" s="1263" t="str">
        <f>B38</f>
        <v>宗地面积</v>
      </c>
      <c r="R38" s="667" t="s">
        <v>14</v>
      </c>
      <c r="S38" s="668" t="e">
        <f t="shared" si="10"/>
        <v>#N/A</v>
      </c>
      <c r="T38" s="667" t="s">
        <v>14</v>
      </c>
      <c r="U38" s="668" t="e">
        <f t="shared" si="11"/>
        <v>#N/A</v>
      </c>
      <c r="V38" s="667" t="s">
        <v>14</v>
      </c>
      <c r="W38" s="668" t="e">
        <f t="shared" si="12"/>
        <v>#N/A</v>
      </c>
      <c r="X38" s="1265"/>
      <c r="Y38" s="3435"/>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35"/>
      <c r="Q39" s="1263" t="str">
        <f t="shared" ref="Q39:Q45" si="14">B39</f>
        <v>宗地形状</v>
      </c>
      <c r="R39" s="667" t="s">
        <v>14</v>
      </c>
      <c r="S39" s="668">
        <f t="shared" si="10"/>
        <v>100</v>
      </c>
      <c r="T39" s="667" t="s">
        <v>14</v>
      </c>
      <c r="U39" s="668">
        <f t="shared" si="11"/>
        <v>100</v>
      </c>
      <c r="V39" s="667" t="s">
        <v>14</v>
      </c>
      <c r="W39" s="668">
        <f t="shared" si="12"/>
        <v>100</v>
      </c>
      <c r="X39" s="1265"/>
      <c r="Y39" s="3435"/>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35"/>
      <c r="Q40" s="1263" t="str">
        <f t="shared" si="14"/>
        <v>临街宽度及深度</v>
      </c>
      <c r="R40" s="667" t="s">
        <v>14</v>
      </c>
      <c r="S40" s="668">
        <f t="shared" si="10"/>
        <v>100</v>
      </c>
      <c r="T40" s="667" t="s">
        <v>14</v>
      </c>
      <c r="U40" s="668">
        <f t="shared" si="11"/>
        <v>100</v>
      </c>
      <c r="V40" s="667" t="s">
        <v>14</v>
      </c>
      <c r="W40" s="668">
        <f t="shared" si="12"/>
        <v>100</v>
      </c>
      <c r="X40" s="1265"/>
      <c r="Y40" s="3435"/>
      <c r="Z40" s="1264" t="str">
        <f t="shared" si="13"/>
        <v>临街宽度及深度</v>
      </c>
      <c r="AA40" s="1264">
        <f t="shared" si="3"/>
        <v>1</v>
      </c>
      <c r="AB40" s="1264">
        <f t="shared" si="4"/>
        <v>1</v>
      </c>
      <c r="AC40" s="1264">
        <f t="shared" si="5"/>
        <v>1</v>
      </c>
    </row>
    <row r="41" spans="1:29" s="102" customFormat="1" ht="15">
      <c r="A41" s="410"/>
      <c r="B41" s="364" t="s">
        <v>1877</v>
      </c>
      <c r="C41" s="1826"/>
      <c r="D41" s="119">
        <v>100</v>
      </c>
      <c r="E41" s="1826"/>
      <c r="F41" s="374">
        <f>SUMIF(122:122,E41,123:123)-SUMIF(122:122,C41,123:123)+100</f>
        <v>100</v>
      </c>
      <c r="G41" s="1826"/>
      <c r="H41" s="374">
        <f>SUMIF(122:122,G41,123:123)-SUMIF(122:122,C41,123:123)+100</f>
        <v>100</v>
      </c>
      <c r="I41" s="1826"/>
      <c r="J41" s="374">
        <f>SUMIF(122:122,I41,123:123)-SUMIF(122:122,C41,123:123)+100</f>
        <v>100</v>
      </c>
      <c r="K41" s="538"/>
      <c r="L41" s="2487"/>
      <c r="M41" s="2438"/>
      <c r="N41" s="2438"/>
      <c r="O41" s="2539"/>
      <c r="P41" s="3435"/>
      <c r="Q41" s="1263" t="str">
        <f t="shared" si="14"/>
        <v>宗地开发程度</v>
      </c>
      <c r="R41" s="664" t="s">
        <v>14</v>
      </c>
      <c r="S41" s="665">
        <f t="shared" si="10"/>
        <v>100</v>
      </c>
      <c r="T41" s="664" t="s">
        <v>14</v>
      </c>
      <c r="U41" s="665">
        <f t="shared" si="11"/>
        <v>100</v>
      </c>
      <c r="V41" s="664" t="s">
        <v>14</v>
      </c>
      <c r="W41" s="665">
        <f t="shared" si="12"/>
        <v>100</v>
      </c>
      <c r="X41" s="666"/>
      <c r="Y41" s="3435"/>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35" t="s">
        <v>1696</v>
      </c>
      <c r="Q42" s="1263" t="str">
        <f t="shared" si="14"/>
        <v>工程地质条件</v>
      </c>
      <c r="R42" s="667" t="s">
        <v>14</v>
      </c>
      <c r="S42" s="668">
        <f t="shared" si="10"/>
        <v>100</v>
      </c>
      <c r="T42" s="667" t="s">
        <v>14</v>
      </c>
      <c r="U42" s="668">
        <f t="shared" si="11"/>
        <v>100</v>
      </c>
      <c r="V42" s="667" t="s">
        <v>14</v>
      </c>
      <c r="W42" s="668">
        <f t="shared" si="12"/>
        <v>100</v>
      </c>
      <c r="X42" s="1265"/>
      <c r="Y42" s="3435"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35"/>
      <c r="Q43" s="1263">
        <f t="shared" si="14"/>
        <v>111</v>
      </c>
      <c r="R43" s="667" t="s">
        <v>14</v>
      </c>
      <c r="S43" s="668">
        <f t="shared" si="10"/>
        <v>100</v>
      </c>
      <c r="T43" s="667" t="s">
        <v>14</v>
      </c>
      <c r="U43" s="668">
        <f t="shared" si="11"/>
        <v>100</v>
      </c>
      <c r="V43" s="667" t="s">
        <v>14</v>
      </c>
      <c r="W43" s="668">
        <f t="shared" si="12"/>
        <v>100</v>
      </c>
      <c r="X43" s="1265"/>
      <c r="Y43" s="3435"/>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35"/>
      <c r="Q44" s="1263">
        <f t="shared" si="14"/>
        <v>111</v>
      </c>
      <c r="R44" s="667" t="s">
        <v>14</v>
      </c>
      <c r="S44" s="668">
        <f t="shared" si="10"/>
        <v>100</v>
      </c>
      <c r="T44" s="667" t="s">
        <v>14</v>
      </c>
      <c r="U44" s="668">
        <f t="shared" si="11"/>
        <v>100</v>
      </c>
      <c r="V44" s="667" t="s">
        <v>14</v>
      </c>
      <c r="W44" s="668">
        <f t="shared" si="12"/>
        <v>100</v>
      </c>
      <c r="X44" s="1265"/>
      <c r="Y44" s="3435"/>
      <c r="Z44" s="1264">
        <f t="shared" si="13"/>
        <v>111</v>
      </c>
      <c r="AA44" s="1264">
        <f t="shared" si="3"/>
        <v>1</v>
      </c>
      <c r="AB44" s="1264">
        <f t="shared" si="4"/>
        <v>1</v>
      </c>
      <c r="AC44" s="1264">
        <f t="shared" si="5"/>
        <v>1</v>
      </c>
    </row>
    <row r="45" spans="1:29" s="408" customFormat="1" ht="15.75" thickBot="1">
      <c r="A45" s="406"/>
      <c r="B45" s="1067">
        <v>111</v>
      </c>
      <c r="C45" s="1827"/>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35"/>
      <c r="Q45" s="1263">
        <f t="shared" si="14"/>
        <v>111</v>
      </c>
      <c r="R45" s="669" t="s">
        <v>14</v>
      </c>
      <c r="S45" s="670">
        <f t="shared" si="10"/>
        <v>100</v>
      </c>
      <c r="T45" s="669" t="s">
        <v>14</v>
      </c>
      <c r="U45" s="670">
        <f t="shared" si="11"/>
        <v>100</v>
      </c>
      <c r="V45" s="669" t="s">
        <v>14</v>
      </c>
      <c r="W45" s="670">
        <f t="shared" si="12"/>
        <v>100</v>
      </c>
      <c r="X45" s="671"/>
      <c r="Y45" s="3435"/>
      <c r="Z45" s="672">
        <f t="shared" si="13"/>
        <v>111</v>
      </c>
      <c r="AA45" s="1264">
        <f t="shared" si="3"/>
        <v>1</v>
      </c>
      <c r="AB45" s="1264">
        <f t="shared" si="4"/>
        <v>1</v>
      </c>
      <c r="AC45" s="1264">
        <f t="shared" si="5"/>
        <v>1</v>
      </c>
    </row>
    <row r="46" spans="1:29" ht="15">
      <c r="A46" s="416" t="s">
        <v>1844</v>
      </c>
      <c r="B46" s="1828" t="s">
        <v>1879</v>
      </c>
      <c r="C46" s="602" t="s">
        <v>0</v>
      </c>
      <c r="D46" s="418"/>
      <c r="E46" s="419"/>
      <c r="F46" s="420"/>
      <c r="G46" s="421"/>
      <c r="H46" s="422"/>
      <c r="I46" s="419"/>
      <c r="J46" s="422"/>
      <c r="K46" s="674"/>
      <c r="L46" s="2493"/>
      <c r="M46" s="2486"/>
      <c r="N46" s="2486"/>
      <c r="O46" s="2486"/>
      <c r="P46" s="3429" t="str">
        <f>A46</f>
        <v>成交单价</v>
      </c>
      <c r="Q46" s="3429"/>
      <c r="R46" s="3424">
        <f>E46</f>
        <v>0</v>
      </c>
      <c r="S46" s="3424"/>
      <c r="T46" s="3424">
        <f>G46</f>
        <v>0</v>
      </c>
      <c r="U46" s="3424"/>
      <c r="V46" s="3424">
        <f>I46</f>
        <v>0</v>
      </c>
      <c r="W46" s="3424"/>
      <c r="X46" s="385"/>
      <c r="Y46" s="673"/>
      <c r="Z46" s="385"/>
      <c r="AA46" s="385"/>
      <c r="AB46" s="385"/>
      <c r="AC46" s="385"/>
    </row>
    <row r="47" spans="1:29" ht="15.75" thickBot="1">
      <c r="A47" s="423" t="s">
        <v>1793</v>
      </c>
      <c r="B47" s="603"/>
      <c r="C47" s="426" t="e">
        <f>R48</f>
        <v>#DIV/0!</v>
      </c>
      <c r="D47" s="2139" t="s">
        <v>2138</v>
      </c>
      <c r="E47" s="426" t="e">
        <f>R47</f>
        <v>#DIV/0!</v>
      </c>
      <c r="F47" s="2140"/>
      <c r="G47" s="425" t="e">
        <f>T47</f>
        <v>#DIV/0!</v>
      </c>
      <c r="H47" s="2140"/>
      <c r="I47" s="426" t="e">
        <f>V47</f>
        <v>#DIV/0!</v>
      </c>
      <c r="J47" s="2140"/>
      <c r="K47" s="2142">
        <f>F47+H47+J47</f>
        <v>0</v>
      </c>
      <c r="L47" s="2493"/>
      <c r="M47" s="2486"/>
      <c r="N47" s="2486"/>
      <c r="O47" s="2486"/>
      <c r="P47" s="3429" t="str">
        <f>A47</f>
        <v>比较价值（元/平方米）</v>
      </c>
      <c r="Q47" s="3429"/>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5.75" thickBot="1">
      <c r="A48" s="427" t="s">
        <v>1880</v>
      </c>
      <c r="B48" s="428"/>
      <c r="C48" s="429" t="e">
        <f>R48</f>
        <v>#DIV/0!</v>
      </c>
      <c r="D48" s="429"/>
      <c r="E48" s="429"/>
      <c r="F48" s="429"/>
      <c r="G48" s="429"/>
      <c r="H48" s="429"/>
      <c r="I48" s="429"/>
      <c r="J48" s="429"/>
      <c r="K48" s="675"/>
      <c r="L48" s="2493"/>
      <c r="M48" s="2486"/>
      <c r="N48" s="2486"/>
      <c r="O48" s="2486"/>
      <c r="P48" s="3426" t="str">
        <f>A48</f>
        <v>估价对象XX用房的比较价值（楼面单价，元/平方米）</v>
      </c>
      <c r="Q48" s="3427"/>
      <c r="R48" s="3457" t="e">
        <f>ROUND(IF(D47="简单平均",AVERAGE(R47:W47),R47*F47+T47*H47+V47*J47),0)</f>
        <v>#DIV/0!</v>
      </c>
      <c r="S48" s="3457"/>
      <c r="T48" s="3457"/>
      <c r="U48" s="3457"/>
      <c r="V48" s="3457"/>
      <c r="W48" s="345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29" t="s">
        <v>1883</v>
      </c>
      <c r="D55" s="1830" t="s">
        <v>1884</v>
      </c>
      <c r="E55" s="606" t="s">
        <v>1885</v>
      </c>
      <c r="F55" s="837" t="s">
        <v>1886</v>
      </c>
      <c r="G55" s="3412" t="s">
        <v>1887</v>
      </c>
      <c r="H55" s="3458"/>
      <c r="I55" s="127" t="s">
        <v>1888</v>
      </c>
      <c r="J55" s="1831">
        <f>项目基本情况!F35</f>
        <v>0</v>
      </c>
      <c r="K55" s="1832"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32.74</v>
      </c>
      <c r="F56" s="833" t="e">
        <f t="shared" ref="F56:F64" si="15">ROUND(B56*E56/10000,0)</f>
        <v>#DIV/0!</v>
      </c>
      <c r="G56" s="3411"/>
      <c r="H56" s="3429"/>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0.6</v>
      </c>
      <c r="D57" s="891">
        <v>0.25</v>
      </c>
      <c r="E57" s="614"/>
      <c r="F57" s="833" t="e">
        <f t="shared" si="15"/>
        <v>#DIV/0!</v>
      </c>
      <c r="G57" s="2749" t="s">
        <v>1892</v>
      </c>
      <c r="H57" s="834" t="str">
        <f>项目基本情况!B37</f>
        <v>五级</v>
      </c>
      <c r="I57" s="838">
        <f>SUMIF(修正!A59:A70,H57,修正!B59:B70)</f>
        <v>0.6</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0.3</v>
      </c>
      <c r="D58" s="891">
        <v>0.25</v>
      </c>
      <c r="E58" s="614"/>
      <c r="F58" s="833" t="e">
        <f t="shared" si="15"/>
        <v>#DIV/0!</v>
      </c>
      <c r="G58" s="2750"/>
      <c r="H58" s="834" t="str">
        <f>项目基本情况!B37</f>
        <v>五级</v>
      </c>
      <c r="I58" s="838">
        <f>SUMIF(修正!A59:A70,H58,修正!C59:C70)</f>
        <v>0.3</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0.25</v>
      </c>
      <c r="D59" s="891">
        <v>0.25</v>
      </c>
      <c r="E59" s="614"/>
      <c r="F59" s="833" t="e">
        <f t="shared" si="15"/>
        <v>#DIV/0!</v>
      </c>
      <c r="G59" s="2750"/>
      <c r="H59" s="834" t="str">
        <f>项目基本情况!B37</f>
        <v>五级</v>
      </c>
      <c r="I59" s="838">
        <f>SUMIF(修正!A59:A70,H59,修正!D59:D70)</f>
        <v>0.25</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3" t="s">
        <v>1896</v>
      </c>
      <c r="H60" s="834" t="str">
        <f>项目基本情况!C37</f>
        <v>五级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五级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0.15</v>
      </c>
      <c r="D63" s="891">
        <v>0.25</v>
      </c>
      <c r="E63" s="209">
        <f>'数据-汇总表'!E14</f>
        <v>0</v>
      </c>
      <c r="F63" s="833" t="e">
        <f t="shared" si="15"/>
        <v>#DIV/0!</v>
      </c>
      <c r="G63" s="1833" t="s">
        <v>1892</v>
      </c>
      <c r="H63" s="834" t="str">
        <f>项目基本情况!B37</f>
        <v>五级</v>
      </c>
      <c r="I63" s="838">
        <f>SUMIF(修正!A59:A70,H63,修正!G59:G70)</f>
        <v>0.15</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5" thickBot="1">
      <c r="A64" s="613" t="s">
        <v>1902</v>
      </c>
      <c r="B64" s="210" t="e">
        <f t="shared" si="17"/>
        <v>#DIV/0!</v>
      </c>
      <c r="C64" s="163">
        <f t="shared" si="16"/>
        <v>0.15</v>
      </c>
      <c r="D64" s="891">
        <v>0.25</v>
      </c>
      <c r="E64" s="209">
        <f>'数据-汇总表'!E15</f>
        <v>0</v>
      </c>
      <c r="F64" s="833" t="e">
        <f t="shared" si="15"/>
        <v>#DIV/0!</v>
      </c>
      <c r="G64" s="1834" t="s">
        <v>1896</v>
      </c>
      <c r="H64" s="844" t="str">
        <f>项目基本情况!C37</f>
        <v>五级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ht="13.5" thickBot="1">
      <c r="A65" s="615" t="s">
        <v>1903</v>
      </c>
      <c r="B65" s="616" t="s">
        <v>22</v>
      </c>
      <c r="C65" s="616" t="s">
        <v>23</v>
      </c>
      <c r="D65" s="616" t="s">
        <v>392</v>
      </c>
      <c r="E65" s="616">
        <f>IF(B46="楼面地价",SUM(E56:E64),'数据-汇总表'!D3)</f>
        <v>32.74</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2025-12-1</v>
      </c>
      <c r="D67" s="656">
        <f>EDATE(C67,-3)</f>
        <v>45901</v>
      </c>
      <c r="E67" s="656">
        <f>EDATE(D67,-3)</f>
        <v>45809</v>
      </c>
      <c r="F67" s="656">
        <f t="shared" ref="F67:O67" si="18">EDATE(E67,-3)</f>
        <v>45717</v>
      </c>
      <c r="G67" s="656">
        <f t="shared" si="18"/>
        <v>45627</v>
      </c>
      <c r="H67" s="656">
        <f t="shared" si="18"/>
        <v>45536</v>
      </c>
      <c r="I67" s="656">
        <f t="shared" si="18"/>
        <v>45444</v>
      </c>
      <c r="J67" s="656">
        <f t="shared" si="18"/>
        <v>45352</v>
      </c>
      <c r="K67" s="656">
        <f t="shared" si="18"/>
        <v>45261</v>
      </c>
      <c r="L67" s="656">
        <f t="shared" si="18"/>
        <v>45170</v>
      </c>
      <c r="M67" s="656">
        <f t="shared" si="18"/>
        <v>45078</v>
      </c>
      <c r="N67" s="656">
        <f t="shared" si="18"/>
        <v>44986</v>
      </c>
      <c r="O67" s="656">
        <f t="shared" si="18"/>
        <v>44896</v>
      </c>
      <c r="P67" s="2486"/>
      <c r="Q67" s="2486"/>
      <c r="R67" s="2486"/>
      <c r="S67" s="2486"/>
      <c r="T67" s="2486"/>
      <c r="U67" s="2486"/>
      <c r="V67" s="2486"/>
      <c r="W67" s="2486"/>
      <c r="X67" s="2486"/>
      <c r="Y67" s="2486"/>
      <c r="Z67" s="2486"/>
      <c r="AA67" s="2486"/>
      <c r="AB67" s="2486"/>
      <c r="AC67" s="2486"/>
    </row>
    <row r="68" spans="1:29" ht="21.7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5">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5"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8"/>
      <c r="R70" s="2438"/>
      <c r="S70" s="2438"/>
      <c r="T70" s="2438"/>
      <c r="U70" s="2438"/>
      <c r="V70" s="2438"/>
      <c r="W70" s="2438"/>
      <c r="X70" s="2438"/>
      <c r="Y70" s="2438"/>
      <c r="Z70" s="2438"/>
      <c r="AA70" s="2438"/>
      <c r="AB70" s="2438"/>
      <c r="AC70" s="2438"/>
    </row>
    <row r="71" spans="1:29" s="102" customFormat="1" ht="15.75" thickBot="1">
      <c r="A71" s="449" t="s">
        <v>1716</v>
      </c>
      <c r="B71" s="450"/>
      <c r="C71" s="451"/>
      <c r="D71" s="452"/>
      <c r="E71" s="452"/>
      <c r="F71" s="452"/>
      <c r="G71" s="452"/>
      <c r="H71" s="452"/>
      <c r="I71" s="452"/>
      <c r="J71" s="452"/>
      <c r="K71" s="452"/>
      <c r="L71" s="452"/>
      <c r="M71" s="453"/>
      <c r="N71" s="452"/>
      <c r="O71" s="889"/>
      <c r="P71" s="2507"/>
      <c r="Q71" s="2507"/>
      <c r="R71" s="2438"/>
      <c r="S71" s="2438"/>
      <c r="T71" s="2438"/>
      <c r="U71" s="2438"/>
      <c r="V71" s="2438"/>
      <c r="W71" s="2438"/>
      <c r="X71" s="2438"/>
      <c r="Y71" s="2438"/>
      <c r="Z71" s="2438"/>
      <c r="AA71" s="2438"/>
      <c r="AB71" s="2438"/>
      <c r="AC71" s="2438"/>
    </row>
    <row r="72" spans="1:29" s="102" customFormat="1" ht="15">
      <c r="A72" s="455" t="s">
        <v>1681</v>
      </c>
      <c r="B72" s="444"/>
      <c r="C72" s="456" t="s">
        <v>1776</v>
      </c>
      <c r="D72" s="31"/>
      <c r="E72" s="31"/>
      <c r="F72" s="31"/>
      <c r="G72" s="31"/>
      <c r="H72" s="31"/>
      <c r="I72" s="31"/>
      <c r="J72" s="31"/>
      <c r="K72" s="31"/>
      <c r="L72" s="457"/>
      <c r="M72" s="458"/>
      <c r="N72" s="2519"/>
      <c r="O72" s="2519"/>
      <c r="P72" s="2543"/>
      <c r="Q72" s="2507"/>
      <c r="R72" s="2438"/>
      <c r="S72" s="2438"/>
      <c r="T72" s="2438"/>
      <c r="U72" s="2438"/>
      <c r="V72" s="2438"/>
      <c r="W72" s="2438"/>
      <c r="X72" s="2438"/>
      <c r="Y72" s="2438"/>
      <c r="Z72" s="2438"/>
      <c r="AA72" s="2438"/>
      <c r="AB72" s="2438"/>
      <c r="AC72" s="2438"/>
    </row>
    <row r="73" spans="1:29" s="102" customFormat="1" ht="15.75" thickBot="1">
      <c r="A73" s="455"/>
      <c r="B73" s="444"/>
      <c r="C73" s="563">
        <v>100</v>
      </c>
      <c r="D73" s="446"/>
      <c r="E73" s="446"/>
      <c r="F73" s="446"/>
      <c r="G73" s="446"/>
      <c r="H73" s="446"/>
      <c r="I73" s="446"/>
      <c r="J73" s="446"/>
      <c r="K73" s="446"/>
      <c r="L73" s="446"/>
      <c r="M73" s="448"/>
      <c r="N73" s="2519"/>
      <c r="O73" s="2519"/>
      <c r="P73" s="2507"/>
      <c r="Q73" s="2507"/>
      <c r="R73" s="2438"/>
      <c r="S73" s="2438"/>
      <c r="T73" s="2438"/>
      <c r="U73" s="2438"/>
      <c r="V73" s="2438"/>
      <c r="W73" s="2438"/>
      <c r="X73" s="2438"/>
      <c r="Y73" s="2438"/>
      <c r="Z73" s="2438"/>
      <c r="AA73" s="2438"/>
      <c r="AB73" s="2438"/>
      <c r="AC73" s="2438"/>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5.7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7.7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5.7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7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ht="15">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5.7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5.7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5.7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5.7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5.7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5.7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7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7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7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15.7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8"/>
      <c r="S95" s="2438"/>
      <c r="T95" s="2438"/>
      <c r="U95" s="2438"/>
      <c r="V95" s="2438"/>
      <c r="W95" s="2438"/>
      <c r="X95" s="2438"/>
      <c r="Y95" s="2438"/>
      <c r="Z95" s="2438"/>
      <c r="AA95" s="2438"/>
      <c r="AB95" s="2438"/>
      <c r="AC95" s="2438"/>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8"/>
      <c r="S96" s="2438"/>
      <c r="T96" s="2438"/>
      <c r="U96" s="2438"/>
      <c r="V96" s="2438"/>
      <c r="W96" s="2438"/>
      <c r="X96" s="2438"/>
      <c r="Y96" s="2438"/>
      <c r="Z96" s="2438"/>
      <c r="AA96" s="2438"/>
      <c r="AB96" s="2438"/>
      <c r="AC96" s="2438"/>
    </row>
    <row r="97" spans="1:29" s="102" customFormat="1" ht="27.7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8"/>
      <c r="S97" s="2438"/>
      <c r="T97" s="2438"/>
      <c r="U97" s="2438"/>
      <c r="V97" s="2438"/>
      <c r="W97" s="2438"/>
      <c r="X97" s="2438"/>
      <c r="Y97" s="2438"/>
      <c r="Z97" s="2438"/>
      <c r="AA97" s="2438"/>
      <c r="AB97" s="2438"/>
      <c r="AC97" s="2438"/>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8"/>
      <c r="S98" s="2438"/>
      <c r="T98" s="2438"/>
      <c r="U98" s="2438"/>
      <c r="V98" s="2438"/>
      <c r="W98" s="2438"/>
      <c r="X98" s="2438"/>
      <c r="Y98" s="2438"/>
      <c r="Z98" s="2438"/>
      <c r="AA98" s="2438"/>
      <c r="AB98" s="2438"/>
      <c r="AC98" s="2438"/>
    </row>
    <row r="99" spans="1:29" s="408" customFormat="1" ht="15.7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7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7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7.7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7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5.7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5.7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5.7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5.7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ht="15">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5.7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5.7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5.7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5.7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48" priority="13" stopIfTrue="1">
      <formula>$F$51="超过30%"</formula>
    </cfRule>
  </conditionalFormatting>
  <conditionalFormatting sqref="E52">
    <cfRule type="expression" dxfId="47" priority="11" stopIfTrue="1">
      <formula>$F$52="超过20%"</formula>
    </cfRule>
  </conditionalFormatting>
  <conditionalFormatting sqref="E53">
    <cfRule type="expression" dxfId="46" priority="10" stopIfTrue="1">
      <formula>$F$53="超过30%"</formula>
    </cfRule>
  </conditionalFormatting>
  <conditionalFormatting sqref="F7:F45 H7:H45 J7:J45">
    <cfRule type="cellIs" dxfId="45" priority="1" operator="notEqual">
      <formula>100</formula>
    </cfRule>
  </conditionalFormatting>
  <conditionalFormatting sqref="F47">
    <cfRule type="expression" dxfId="44" priority="4">
      <formula>$D$47="简单平均"</formula>
    </cfRule>
  </conditionalFormatting>
  <conditionalFormatting sqref="F51:F53 H51:H53 J51:J53">
    <cfRule type="containsText" dxfId="43" priority="14" stopIfTrue="1" operator="containsText" text="超过">
      <formula>NOT(ISERROR(SEARCH("超过",F51)))</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G53">
    <cfRule type="expression" dxfId="40" priority="12" stopIfTrue="1">
      <formula>$H$53="超过30%"</formula>
    </cfRule>
  </conditionalFormatting>
  <conditionalFormatting sqref="H47">
    <cfRule type="expression" dxfId="39" priority="3">
      <formula>$D$47="简单平均"</formula>
    </cfRule>
  </conditionalFormatting>
  <conditionalFormatting sqref="I51">
    <cfRule type="expression" dxfId="38" priority="7" stopIfTrue="1">
      <formula>$J$51="超过30%"</formula>
    </cfRule>
  </conditionalFormatting>
  <conditionalFormatting sqref="I52">
    <cfRule type="expression" dxfId="37" priority="6" stopIfTrue="1">
      <formula>$J$52="超过20%"</formula>
    </cfRule>
  </conditionalFormatting>
  <conditionalFormatting sqref="I53">
    <cfRule type="expression" dxfId="36" priority="5" stopIfTrue="1">
      <formula>$J$53="超过30%"</formula>
    </cfRule>
  </conditionalFormatting>
  <conditionalFormatting sqref="J47">
    <cfRule type="expression" dxfId="35"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5">
      <c r="A4" s="345" t="s">
        <v>1769</v>
      </c>
      <c r="B4" s="346"/>
      <c r="C4" s="3412" t="s">
        <v>1770</v>
      </c>
      <c r="D4" s="3413"/>
      <c r="E4" s="3414" t="s">
        <v>1771</v>
      </c>
      <c r="F4" s="3415"/>
      <c r="G4" s="3412" t="s">
        <v>1772</v>
      </c>
      <c r="H4" s="3413"/>
      <c r="I4" s="3412" t="s">
        <v>1773</v>
      </c>
      <c r="J4" s="3413"/>
      <c r="K4" s="537" t="s">
        <v>1774</v>
      </c>
      <c r="L4" s="2485"/>
      <c r="M4" s="2486"/>
      <c r="N4" s="2486"/>
      <c r="O4" s="2486"/>
      <c r="P4" s="3416" t="s">
        <v>1775</v>
      </c>
      <c r="Q4" s="3417"/>
      <c r="R4" s="3398" t="s">
        <v>1771</v>
      </c>
      <c r="S4" s="3399"/>
      <c r="T4" s="3398" t="s">
        <v>1772</v>
      </c>
      <c r="U4" s="3399"/>
      <c r="V4" s="3424" t="s">
        <v>1773</v>
      </c>
      <c r="W4" s="3424"/>
      <c r="X4" s="1265"/>
      <c r="Y4" s="3398" t="s">
        <v>1775</v>
      </c>
      <c r="Z4" s="3399"/>
      <c r="AA4" s="3393" t="s">
        <v>1771</v>
      </c>
      <c r="AB4" s="3394" t="s">
        <v>1772</v>
      </c>
      <c r="AC4" s="3393" t="s">
        <v>1773</v>
      </c>
    </row>
    <row r="5" spans="1:29" ht="15">
      <c r="A5" s="348"/>
      <c r="B5" s="349"/>
      <c r="C5" s="3408" t="s">
        <v>1673</v>
      </c>
      <c r="D5" s="3405"/>
      <c r="E5" s="3402" t="s">
        <v>1674</v>
      </c>
      <c r="F5" s="3403"/>
      <c r="G5" s="3408" t="s">
        <v>1675</v>
      </c>
      <c r="H5" s="3405"/>
      <c r="I5" s="3408" t="s">
        <v>1676</v>
      </c>
      <c r="J5" s="3405"/>
      <c r="K5" s="537"/>
      <c r="L5" s="2485"/>
      <c r="M5" s="2486"/>
      <c r="N5" s="2486"/>
      <c r="O5" s="2486"/>
      <c r="P5" s="3418"/>
      <c r="Q5" s="3419"/>
      <c r="R5" s="3400"/>
      <c r="S5" s="3401"/>
      <c r="T5" s="3400"/>
      <c r="U5" s="3401"/>
      <c r="V5" s="3424"/>
      <c r="W5" s="3424"/>
      <c r="X5" s="1265"/>
      <c r="Y5" s="3400"/>
      <c r="Z5" s="3401"/>
      <c r="AA5" s="3394"/>
      <c r="AB5" s="3394"/>
      <c r="AC5" s="3394"/>
    </row>
    <row r="6" spans="1:29" ht="15.75" thickBot="1">
      <c r="A6" s="350"/>
      <c r="B6" s="351"/>
      <c r="C6" s="3459" t="s">
        <v>1919</v>
      </c>
      <c r="D6" s="3460"/>
      <c r="E6" s="3461" t="s">
        <v>1919</v>
      </c>
      <c r="F6" s="3462"/>
      <c r="G6" s="3459" t="s">
        <v>1919</v>
      </c>
      <c r="H6" s="3460"/>
      <c r="I6" s="3459" t="s">
        <v>1919</v>
      </c>
      <c r="J6" s="3460"/>
      <c r="K6" s="537" t="s">
        <v>1678</v>
      </c>
      <c r="L6" s="2485"/>
      <c r="M6" s="2486"/>
      <c r="N6" s="2486"/>
      <c r="O6" s="2486"/>
      <c r="P6" s="3420"/>
      <c r="Q6" s="3421"/>
      <c r="R6" s="3400"/>
      <c r="S6" s="3401"/>
      <c r="T6" s="3422"/>
      <c r="U6" s="3423"/>
      <c r="V6" s="3424"/>
      <c r="W6" s="3424"/>
      <c r="X6" s="1265"/>
      <c r="Y6" s="3422"/>
      <c r="Z6" s="3423"/>
      <c r="AA6" s="3395"/>
      <c r="AB6" s="3395"/>
      <c r="AC6" s="3395"/>
    </row>
    <row r="7" spans="1:29" s="102" customFormat="1" ht="15.75" thickBot="1">
      <c r="A7" s="352" t="s">
        <v>1679</v>
      </c>
      <c r="B7" s="353"/>
      <c r="C7" s="354">
        <f>'数据-取费表'!B2</f>
        <v>46015</v>
      </c>
      <c r="D7" s="355">
        <v>100</v>
      </c>
      <c r="E7" s="356"/>
      <c r="F7" s="357">
        <f>SUMIF(65:65,YEAR(E7)&amp;"-"&amp;INT((MONTH(E7)+2)/3),66:66)</f>
        <v>0</v>
      </c>
      <c r="G7" s="1820"/>
      <c r="H7" s="355">
        <f>SUMIF(65:65,YEAR(G7)&amp;"-"&amp;INT((MONTH(G7)+2)/3),66:66)</f>
        <v>0</v>
      </c>
      <c r="I7" s="1820"/>
      <c r="J7" s="355">
        <f>SUMIF(65:65,YEAR(I7)&amp;"-"&amp;INT((MONTH(I7)+2)/3),66:66)</f>
        <v>0</v>
      </c>
      <c r="K7" s="38"/>
      <c r="L7" s="2487"/>
      <c r="M7" s="2438"/>
      <c r="N7" s="2438"/>
      <c r="O7" s="2438"/>
      <c r="P7" s="3396" t="s">
        <v>1680</v>
      </c>
      <c r="Q7" s="3425"/>
      <c r="R7" s="664" t="s">
        <v>14</v>
      </c>
      <c r="S7" s="665">
        <f t="shared" ref="S7:S15" si="0">F7</f>
        <v>0</v>
      </c>
      <c r="T7" s="664" t="s">
        <v>14</v>
      </c>
      <c r="U7" s="665">
        <f t="shared" ref="U7:U15" si="1">H7</f>
        <v>0</v>
      </c>
      <c r="V7" s="664" t="s">
        <v>14</v>
      </c>
      <c r="W7" s="665">
        <f t="shared" ref="W7:W15" si="2">J7</f>
        <v>0</v>
      </c>
      <c r="X7" s="666"/>
      <c r="Y7" s="3396" t="s">
        <v>1680</v>
      </c>
      <c r="Z7" s="3397"/>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8"/>
      <c r="N8" s="2438"/>
      <c r="O8" s="2438"/>
      <c r="P8" s="3396" t="s">
        <v>1683</v>
      </c>
      <c r="Q8" s="3397"/>
      <c r="R8" s="664" t="s">
        <v>14</v>
      </c>
      <c r="S8" s="665">
        <f t="shared" si="0"/>
        <v>0</v>
      </c>
      <c r="T8" s="664" t="s">
        <v>14</v>
      </c>
      <c r="U8" s="665">
        <f t="shared" si="1"/>
        <v>0</v>
      </c>
      <c r="V8" s="664" t="s">
        <v>14</v>
      </c>
      <c r="W8" s="665">
        <f t="shared" si="2"/>
        <v>0</v>
      </c>
      <c r="X8" s="666"/>
      <c r="Y8" s="3396" t="s">
        <v>1683</v>
      </c>
      <c r="Z8" s="3397"/>
      <c r="AA8" s="50" t="e">
        <f t="shared" ref="AA8:AA40" si="3">D8/F8</f>
        <v>#DIV/0!</v>
      </c>
      <c r="AB8" s="50" t="e">
        <f t="shared" ref="AB8:AB40" si="4">D8/H8</f>
        <v>#DIV/0!</v>
      </c>
      <c r="AC8" s="50" t="e">
        <f t="shared" ref="AC8:AC40" si="5">D8/J8</f>
        <v>#DIV/0!</v>
      </c>
    </row>
    <row r="9" spans="1:29" s="102" customFormat="1">
      <c r="A9" s="359" t="s">
        <v>1684</v>
      </c>
      <c r="B9" s="60" t="s">
        <v>1685</v>
      </c>
      <c r="C9" s="1823"/>
      <c r="D9" s="59">
        <v>100</v>
      </c>
      <c r="E9" s="1823"/>
      <c r="F9" s="59">
        <f>SUMIF(70:70,E9,71:71)-SUMIF(70:70,C9,71:71)+100</f>
        <v>100</v>
      </c>
      <c r="G9" s="1823"/>
      <c r="H9" s="59">
        <f>SUMIF(70:70,G9,71:71)-SUMIF(70:70,C9,71:71)+100</f>
        <v>100</v>
      </c>
      <c r="I9" s="1823"/>
      <c r="J9" s="59">
        <f>SUMIF(70:70,I9,71:71)-SUMIF(70:70,C9,71:71)+100</f>
        <v>100</v>
      </c>
      <c r="K9" s="38"/>
      <c r="L9" s="2487"/>
      <c r="M9" s="2438"/>
      <c r="N9" s="2438"/>
      <c r="O9" s="2539"/>
      <c r="P9" s="3429"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146</v>
      </c>
      <c r="G10" s="371"/>
      <c r="H10" s="119">
        <f>ROUND(100/'数据-取费表'!G16,0)</f>
        <v>146</v>
      </c>
      <c r="I10" s="371"/>
      <c r="J10" s="119">
        <f>ROUND(100/'数据-取费表'!G16,0)</f>
        <v>146</v>
      </c>
      <c r="K10" s="592"/>
      <c r="L10" s="2488"/>
      <c r="M10" s="2489"/>
      <c r="N10" s="2489"/>
      <c r="O10" s="2540"/>
      <c r="P10" s="3429"/>
      <c r="Q10" s="530" t="str">
        <f t="shared" si="6"/>
        <v>土地使用年限（年）</v>
      </c>
      <c r="R10" s="664" t="s">
        <v>14</v>
      </c>
      <c r="S10" s="665">
        <f t="shared" si="0"/>
        <v>146</v>
      </c>
      <c r="T10" s="664" t="s">
        <v>14</v>
      </c>
      <c r="U10" s="665">
        <f t="shared" si="1"/>
        <v>146</v>
      </c>
      <c r="V10" s="664" t="s">
        <v>14</v>
      </c>
      <c r="W10" s="665">
        <f t="shared" si="2"/>
        <v>146</v>
      </c>
      <c r="X10" s="666"/>
      <c r="Y10" s="3340"/>
      <c r="Z10" s="50" t="str">
        <f t="shared" si="7"/>
        <v>土地使用年限（年）</v>
      </c>
      <c r="AA10" s="50">
        <f t="shared" si="3"/>
        <v>0.68493150684931503</v>
      </c>
      <c r="AB10" s="50">
        <f t="shared" si="4"/>
        <v>0.68493150684931503</v>
      </c>
      <c r="AC10" s="50">
        <f t="shared" si="5"/>
        <v>0.68493150684931503</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29"/>
      <c r="Q11" s="530" t="str">
        <f t="shared" si="6"/>
        <v>容积率</v>
      </c>
      <c r="R11" s="664" t="s">
        <v>14</v>
      </c>
      <c r="S11" s="665" t="e">
        <f t="shared" si="0"/>
        <v>#N/A</v>
      </c>
      <c r="T11" s="664" t="s">
        <v>14</v>
      </c>
      <c r="U11" s="665" t="e">
        <f t="shared" si="1"/>
        <v>#N/A</v>
      </c>
      <c r="V11" s="664" t="s">
        <v>14</v>
      </c>
      <c r="W11" s="665" t="e">
        <f t="shared" si="2"/>
        <v>#N/A</v>
      </c>
      <c r="X11" s="666"/>
      <c r="Y11" s="3340"/>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8"/>
      <c r="N12" s="2438"/>
      <c r="O12" s="2539"/>
      <c r="P12" s="3429"/>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29"/>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29"/>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57">
      <c r="A15" s="379" t="s">
        <v>1690</v>
      </c>
      <c r="B15" s="554" t="s">
        <v>1920</v>
      </c>
      <c r="C15" s="1817"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30" t="s">
        <v>1691</v>
      </c>
      <c r="Q15" s="1263" t="str">
        <f t="shared" si="6"/>
        <v>产业集聚程度</v>
      </c>
      <c r="R15" s="667" t="s">
        <v>14</v>
      </c>
      <c r="S15" s="668">
        <f t="shared" si="0"/>
        <v>100</v>
      </c>
      <c r="T15" s="667" t="s">
        <v>14</v>
      </c>
      <c r="U15" s="668">
        <f t="shared" si="1"/>
        <v>100</v>
      </c>
      <c r="V15" s="667" t="s">
        <v>14</v>
      </c>
      <c r="W15" s="668">
        <f t="shared" si="2"/>
        <v>100</v>
      </c>
      <c r="X15" s="1265"/>
      <c r="Y15" s="3430"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431"/>
      <c r="Q16" s="1263"/>
      <c r="R16" s="667"/>
      <c r="S16" s="668"/>
      <c r="T16" s="667"/>
      <c r="U16" s="668"/>
      <c r="V16" s="667"/>
      <c r="W16" s="668"/>
      <c r="X16" s="1265"/>
      <c r="Y16" s="3431"/>
      <c r="Z16" s="1264"/>
      <c r="AA16" s="1264">
        <v>1</v>
      </c>
      <c r="AB16" s="1264">
        <v>1</v>
      </c>
      <c r="AC16" s="1264">
        <v>1</v>
      </c>
    </row>
    <row r="17" spans="1:29" ht="85.5">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31"/>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431"/>
      <c r="Q18" s="1263"/>
      <c r="R18" s="667"/>
      <c r="S18" s="668"/>
      <c r="T18" s="667"/>
      <c r="U18" s="668"/>
      <c r="V18" s="667"/>
      <c r="W18" s="668"/>
      <c r="X18" s="1265"/>
      <c r="Y18" s="3431"/>
      <c r="Z18" s="1264"/>
      <c r="AA18" s="1264">
        <v>1</v>
      </c>
      <c r="AB18" s="1264">
        <v>1</v>
      </c>
      <c r="AC18" s="1264">
        <v>1</v>
      </c>
    </row>
    <row r="19" spans="1:29" ht="15">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31"/>
      <c r="Q19" s="1263" t="str">
        <f t="shared" ref="Q19:Q33" si="8">B19</f>
        <v>区域土地利用方向</v>
      </c>
      <c r="R19" s="667" t="s">
        <v>14</v>
      </c>
      <c r="S19" s="668">
        <f>F19</f>
        <v>100</v>
      </c>
      <c r="T19" s="667" t="s">
        <v>14</v>
      </c>
      <c r="U19" s="668">
        <f>H19</f>
        <v>100</v>
      </c>
      <c r="V19" s="667" t="s">
        <v>14</v>
      </c>
      <c r="W19" s="668">
        <f>J19</f>
        <v>100</v>
      </c>
      <c r="X19" s="1265"/>
      <c r="Y19" s="3431"/>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431"/>
      <c r="Q20" s="1263"/>
      <c r="R20" s="667"/>
      <c r="S20" s="668"/>
      <c r="T20" s="667"/>
      <c r="U20" s="668"/>
      <c r="V20" s="667"/>
      <c r="W20" s="668"/>
      <c r="X20" s="1265"/>
      <c r="Y20" s="3431"/>
      <c r="Z20" s="1264"/>
      <c r="AA20" s="1264"/>
      <c r="AB20" s="1264"/>
      <c r="AC20" s="1264"/>
    </row>
    <row r="21" spans="1:29" ht="71.25">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31"/>
      <c r="Q21" s="1263" t="str">
        <f t="shared" si="8"/>
        <v>环境状况</v>
      </c>
      <c r="R21" s="667" t="s">
        <v>14</v>
      </c>
      <c r="S21" s="668">
        <f>F21</f>
        <v>100</v>
      </c>
      <c r="T21" s="667" t="s">
        <v>14</v>
      </c>
      <c r="U21" s="668">
        <f>H21</f>
        <v>100</v>
      </c>
      <c r="V21" s="667" t="s">
        <v>14</v>
      </c>
      <c r="W21" s="668">
        <f>J21</f>
        <v>100</v>
      </c>
      <c r="X21" s="1265"/>
      <c r="Y21" s="3431"/>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431"/>
      <c r="Q22" s="1263"/>
      <c r="R22" s="667"/>
      <c r="S22" s="668"/>
      <c r="T22" s="667"/>
      <c r="U22" s="668"/>
      <c r="V22" s="667"/>
      <c r="W22" s="668"/>
      <c r="X22" s="1265"/>
      <c r="Y22" s="3431"/>
      <c r="Z22" s="1264"/>
      <c r="AA22" s="1264">
        <v>1</v>
      </c>
      <c r="AB22" s="1264">
        <v>1</v>
      </c>
      <c r="AC22" s="1264">
        <v>1</v>
      </c>
    </row>
    <row r="23" spans="1:29" s="102" customFormat="1" ht="42.75">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8"/>
      <c r="N23" s="2438"/>
      <c r="O23" s="2539"/>
      <c r="P23" s="3431"/>
      <c r="Q23" s="530" t="str">
        <f t="shared" si="8"/>
        <v>公共配套设施</v>
      </c>
      <c r="R23" s="664" t="s">
        <v>14</v>
      </c>
      <c r="S23" s="665">
        <f>F23</f>
        <v>100</v>
      </c>
      <c r="T23" s="664" t="s">
        <v>14</v>
      </c>
      <c r="U23" s="665">
        <f>H23</f>
        <v>100</v>
      </c>
      <c r="V23" s="664" t="s">
        <v>14</v>
      </c>
      <c r="W23" s="665">
        <f>J23</f>
        <v>100</v>
      </c>
      <c r="X23" s="666"/>
      <c r="Y23" s="3431"/>
      <c r="Z23" s="50" t="str">
        <f>Q23</f>
        <v>公共配套设施</v>
      </c>
      <c r="AA23" s="1264">
        <f>D23/F23</f>
        <v>1</v>
      </c>
      <c r="AB23" s="1264">
        <f>D23/H23</f>
        <v>1</v>
      </c>
      <c r="AC23" s="1264">
        <f>D23/J23</f>
        <v>1</v>
      </c>
    </row>
    <row r="24" spans="1:29" s="102" customFormat="1" ht="15">
      <c r="A24" s="443"/>
      <c r="B24" s="401"/>
      <c r="C24" s="1824"/>
      <c r="D24" s="387"/>
      <c r="E24" s="1758"/>
      <c r="F24" s="387"/>
      <c r="G24" s="1758"/>
      <c r="H24" s="387"/>
      <c r="I24" s="386"/>
      <c r="J24" s="387"/>
      <c r="K24" s="592"/>
      <c r="L24" s="2487"/>
      <c r="M24" s="2438"/>
      <c r="N24" s="2438"/>
      <c r="O24" s="2539"/>
      <c r="P24" s="3431"/>
      <c r="Q24" s="530"/>
      <c r="R24" s="664"/>
      <c r="S24" s="665"/>
      <c r="T24" s="664"/>
      <c r="U24" s="665"/>
      <c r="V24" s="664"/>
      <c r="W24" s="665"/>
      <c r="X24" s="666"/>
      <c r="Y24" s="3431"/>
      <c r="Z24" s="50"/>
      <c r="AA24" s="50">
        <v>1</v>
      </c>
      <c r="AB24" s="50">
        <v>1</v>
      </c>
      <c r="AC24" s="50">
        <v>1</v>
      </c>
    </row>
    <row r="25" spans="1:29" s="102" customFormat="1" ht="28.5">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8"/>
      <c r="N25" s="2438"/>
      <c r="O25" s="2539"/>
      <c r="P25" s="3431"/>
      <c r="Q25" s="530" t="str">
        <f t="shared" ref="Q25" si="9">B25</f>
        <v>基础设施水平</v>
      </c>
      <c r="R25" s="664" t="s">
        <v>14</v>
      </c>
      <c r="S25" s="665">
        <f>F25</f>
        <v>100</v>
      </c>
      <c r="T25" s="664" t="s">
        <v>14</v>
      </c>
      <c r="U25" s="665">
        <f>H25</f>
        <v>100</v>
      </c>
      <c r="V25" s="664" t="s">
        <v>14</v>
      </c>
      <c r="W25" s="665">
        <f>J25</f>
        <v>100</v>
      </c>
      <c r="X25" s="666"/>
      <c r="Y25" s="3431"/>
      <c r="Z25" s="50" t="str">
        <f>Q25</f>
        <v>基础设施水平</v>
      </c>
      <c r="AA25" s="1264">
        <f>D25/F25</f>
        <v>1</v>
      </c>
      <c r="AB25" s="1264">
        <f>D25/H25</f>
        <v>1</v>
      </c>
      <c r="AC25" s="1264">
        <f>D25/J25</f>
        <v>1</v>
      </c>
    </row>
    <row r="26" spans="1:29" s="102" customFormat="1" ht="15">
      <c r="A26" s="443"/>
      <c r="B26" s="401"/>
      <c r="C26" s="1824"/>
      <c r="D26" s="387"/>
      <c r="E26" s="1825"/>
      <c r="F26" s="387"/>
      <c r="G26" s="1825"/>
      <c r="H26" s="387"/>
      <c r="I26" s="1825"/>
      <c r="J26" s="387"/>
      <c r="K26" s="592"/>
      <c r="L26" s="2487"/>
      <c r="M26" s="2438"/>
      <c r="N26" s="2438"/>
      <c r="O26" s="2539"/>
      <c r="P26" s="3431"/>
      <c r="Q26" s="530"/>
      <c r="R26" s="664"/>
      <c r="S26" s="665"/>
      <c r="T26" s="664"/>
      <c r="U26" s="665"/>
      <c r="V26" s="664"/>
      <c r="W26" s="665"/>
      <c r="X26" s="666"/>
      <c r="Y26" s="3431"/>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31"/>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31"/>
      <c r="Z27" s="1264" t="str">
        <f t="shared" ref="Z27:Z40" si="13">Q27</f>
        <v>临街状况</v>
      </c>
      <c r="AA27" s="1264">
        <f t="shared" si="3"/>
        <v>1</v>
      </c>
      <c r="AB27" s="1264">
        <f t="shared" si="4"/>
        <v>1</v>
      </c>
      <c r="AC27" s="1264">
        <f t="shared" si="5"/>
        <v>1</v>
      </c>
    </row>
    <row r="28" spans="1:29" ht="27">
      <c r="A28" s="367"/>
      <c r="B28" s="557" t="s">
        <v>1815</v>
      </c>
      <c r="C28" s="1836">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31"/>
      <c r="Q28" s="1263" t="str">
        <f t="shared" si="8"/>
        <v>毗邻道路的类型与等级</v>
      </c>
      <c r="R28" s="667" t="s">
        <v>14</v>
      </c>
      <c r="S28" s="668">
        <f t="shared" si="10"/>
        <v>100</v>
      </c>
      <c r="T28" s="667" t="s">
        <v>14</v>
      </c>
      <c r="U28" s="668">
        <f t="shared" si="11"/>
        <v>100</v>
      </c>
      <c r="V28" s="667" t="s">
        <v>14</v>
      </c>
      <c r="W28" s="668">
        <f t="shared" si="12"/>
        <v>100</v>
      </c>
      <c r="X28" s="1265"/>
      <c r="Y28" s="3431"/>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431"/>
      <c r="Q29" s="1263"/>
      <c r="R29" s="667"/>
      <c r="S29" s="668"/>
      <c r="T29" s="667"/>
      <c r="U29" s="668"/>
      <c r="V29" s="667"/>
      <c r="W29" s="668"/>
      <c r="X29" s="1265"/>
      <c r="Y29" s="3431"/>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31"/>
      <c r="Q30" s="1263" t="str">
        <f t="shared" si="8"/>
        <v>土地级别</v>
      </c>
      <c r="R30" s="667" t="s">
        <v>14</v>
      </c>
      <c r="S30" s="668">
        <f t="shared" si="10"/>
        <v>100</v>
      </c>
      <c r="T30" s="667" t="s">
        <v>14</v>
      </c>
      <c r="U30" s="668">
        <f t="shared" si="11"/>
        <v>100</v>
      </c>
      <c r="V30" s="667" t="s">
        <v>14</v>
      </c>
      <c r="W30" s="668">
        <f t="shared" si="12"/>
        <v>100</v>
      </c>
      <c r="X30" s="1265"/>
      <c r="Y30" s="3431"/>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31"/>
      <c r="Q31" s="1263">
        <f t="shared" si="8"/>
        <v>111</v>
      </c>
      <c r="R31" s="667" t="s">
        <v>14</v>
      </c>
      <c r="S31" s="668">
        <f t="shared" si="10"/>
        <v>100</v>
      </c>
      <c r="T31" s="667" t="s">
        <v>14</v>
      </c>
      <c r="U31" s="668">
        <f t="shared" si="11"/>
        <v>100</v>
      </c>
      <c r="V31" s="667" t="s">
        <v>14</v>
      </c>
      <c r="W31" s="668">
        <f t="shared" si="12"/>
        <v>100</v>
      </c>
      <c r="X31" s="1265"/>
      <c r="Y31" s="3431"/>
      <c r="Z31" s="1264">
        <f t="shared" si="13"/>
        <v>111</v>
      </c>
      <c r="AA31" s="1264">
        <f t="shared" si="3"/>
        <v>1</v>
      </c>
      <c r="AB31" s="1264">
        <f t="shared" si="4"/>
        <v>1</v>
      </c>
      <c r="AC31" s="1264">
        <f t="shared" si="5"/>
        <v>1</v>
      </c>
    </row>
    <row r="32" spans="1:29" ht="15">
      <c r="A32" s="595"/>
      <c r="B32" s="1837">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4" t="s">
        <v>1696</v>
      </c>
      <c r="Q32" s="1263">
        <f t="shared" si="8"/>
        <v>111</v>
      </c>
      <c r="R32" s="667" t="s">
        <v>14</v>
      </c>
      <c r="S32" s="668">
        <f t="shared" si="10"/>
        <v>100</v>
      </c>
      <c r="T32" s="667" t="s">
        <v>14</v>
      </c>
      <c r="U32" s="668">
        <f t="shared" si="11"/>
        <v>100</v>
      </c>
      <c r="V32" s="667" t="s">
        <v>14</v>
      </c>
      <c r="W32" s="668">
        <f t="shared" si="12"/>
        <v>100</v>
      </c>
      <c r="X32" s="1265"/>
      <c r="Y32" s="3435" t="s">
        <v>1696</v>
      </c>
      <c r="Z32" s="1264">
        <f t="shared" si="13"/>
        <v>111</v>
      </c>
      <c r="AA32" s="1264">
        <f t="shared" si="3"/>
        <v>1</v>
      </c>
      <c r="AB32" s="1264">
        <f t="shared" si="4"/>
        <v>1</v>
      </c>
      <c r="AC32" s="1264">
        <f t="shared" si="5"/>
        <v>1</v>
      </c>
    </row>
    <row r="33" spans="1:31" s="408" customFormat="1" ht="15.75" thickBot="1">
      <c r="A33" s="596"/>
      <c r="B33" s="1838">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35"/>
      <c r="Q33" s="1263">
        <f t="shared" si="8"/>
        <v>111</v>
      </c>
      <c r="R33" s="669" t="s">
        <v>14</v>
      </c>
      <c r="S33" s="670">
        <f t="shared" si="10"/>
        <v>100</v>
      </c>
      <c r="T33" s="669" t="s">
        <v>14</v>
      </c>
      <c r="U33" s="670">
        <f t="shared" si="11"/>
        <v>100</v>
      </c>
      <c r="V33" s="669" t="s">
        <v>14</v>
      </c>
      <c r="W33" s="670">
        <f t="shared" si="12"/>
        <v>100</v>
      </c>
      <c r="X33" s="671"/>
      <c r="Y33" s="3435"/>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35"/>
      <c r="Q34" s="1263" t="str">
        <f>B34</f>
        <v>宗地面积</v>
      </c>
      <c r="R34" s="667" t="s">
        <v>14</v>
      </c>
      <c r="S34" s="668" t="e">
        <f t="shared" si="10"/>
        <v>#N/A</v>
      </c>
      <c r="T34" s="667" t="s">
        <v>14</v>
      </c>
      <c r="U34" s="668" t="e">
        <f t="shared" si="11"/>
        <v>#N/A</v>
      </c>
      <c r="V34" s="667" t="s">
        <v>14</v>
      </c>
      <c r="W34" s="668" t="e">
        <f t="shared" si="12"/>
        <v>#N/A</v>
      </c>
      <c r="X34" s="1265"/>
      <c r="Y34" s="3435"/>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35"/>
      <c r="Q35" s="1263" t="str">
        <f t="shared" ref="Q35:Q40" si="14">B35</f>
        <v>宗地形状</v>
      </c>
      <c r="R35" s="667" t="s">
        <v>14</v>
      </c>
      <c r="S35" s="668">
        <f t="shared" si="10"/>
        <v>100</v>
      </c>
      <c r="T35" s="667" t="s">
        <v>14</v>
      </c>
      <c r="U35" s="668">
        <f t="shared" si="11"/>
        <v>100</v>
      </c>
      <c r="V35" s="667" t="s">
        <v>14</v>
      </c>
      <c r="W35" s="668">
        <f t="shared" si="12"/>
        <v>100</v>
      </c>
      <c r="X35" s="1265"/>
      <c r="Y35" s="3435"/>
      <c r="Z35" s="1264" t="str">
        <f t="shared" si="13"/>
        <v>宗地形状</v>
      </c>
      <c r="AA35" s="1264">
        <f t="shared" si="3"/>
        <v>1</v>
      </c>
      <c r="AB35" s="1264">
        <f t="shared" si="4"/>
        <v>1</v>
      </c>
      <c r="AC35" s="1264">
        <f t="shared" si="5"/>
        <v>1</v>
      </c>
    </row>
    <row r="36" spans="1:31" s="102" customFormat="1" ht="15">
      <c r="A36" s="410"/>
      <c r="B36" s="364" t="s">
        <v>1877</v>
      </c>
      <c r="C36" s="1826"/>
      <c r="D36" s="119">
        <v>100</v>
      </c>
      <c r="E36" s="1826"/>
      <c r="F36" s="374">
        <f>SUMIF(112:112,E36,113:113)-SUMIF(112:112,C36,113:113)+100</f>
        <v>100</v>
      </c>
      <c r="G36" s="1826"/>
      <c r="H36" s="374">
        <f>SUMIF(112:112,G36,113:113)-SUMIF(112:112,C36,113:113)+100</f>
        <v>100</v>
      </c>
      <c r="I36" s="1826"/>
      <c r="J36" s="374">
        <f>SUMIF(112:112,I36,113:113)-SUMIF(112:112,C36,113:113)+100</f>
        <v>100</v>
      </c>
      <c r="K36" s="538"/>
      <c r="L36" s="2487"/>
      <c r="M36" s="2438"/>
      <c r="N36" s="2438"/>
      <c r="O36" s="2539"/>
      <c r="P36" s="3435"/>
      <c r="Q36" s="1263" t="str">
        <f t="shared" si="14"/>
        <v>宗地开发程度</v>
      </c>
      <c r="R36" s="664" t="s">
        <v>14</v>
      </c>
      <c r="S36" s="665">
        <f t="shared" si="10"/>
        <v>100</v>
      </c>
      <c r="T36" s="664" t="s">
        <v>14</v>
      </c>
      <c r="U36" s="665">
        <f t="shared" si="11"/>
        <v>100</v>
      </c>
      <c r="V36" s="664" t="s">
        <v>14</v>
      </c>
      <c r="W36" s="665">
        <f t="shared" si="12"/>
        <v>100</v>
      </c>
      <c r="X36" s="666"/>
      <c r="Y36" s="3435"/>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35" t="s">
        <v>1696</v>
      </c>
      <c r="Q37" s="1263" t="str">
        <f t="shared" si="14"/>
        <v>工程地质条件</v>
      </c>
      <c r="R37" s="667" t="s">
        <v>14</v>
      </c>
      <c r="S37" s="668">
        <f t="shared" si="10"/>
        <v>100</v>
      </c>
      <c r="T37" s="667" t="s">
        <v>14</v>
      </c>
      <c r="U37" s="668">
        <f t="shared" si="11"/>
        <v>100</v>
      </c>
      <c r="V37" s="667" t="s">
        <v>14</v>
      </c>
      <c r="W37" s="668">
        <f t="shared" si="12"/>
        <v>100</v>
      </c>
      <c r="X37" s="1265"/>
      <c r="Y37" s="3435"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35"/>
      <c r="Q38" s="1263">
        <f t="shared" si="14"/>
        <v>111</v>
      </c>
      <c r="R38" s="667" t="s">
        <v>14</v>
      </c>
      <c r="S38" s="668">
        <f t="shared" si="10"/>
        <v>100</v>
      </c>
      <c r="T38" s="667" t="s">
        <v>14</v>
      </c>
      <c r="U38" s="668">
        <f t="shared" si="11"/>
        <v>100</v>
      </c>
      <c r="V38" s="667" t="s">
        <v>14</v>
      </c>
      <c r="W38" s="668">
        <f t="shared" si="12"/>
        <v>100</v>
      </c>
      <c r="X38" s="1265"/>
      <c r="Y38" s="3435"/>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35"/>
      <c r="Q39" s="1263">
        <f t="shared" si="14"/>
        <v>111</v>
      </c>
      <c r="R39" s="667" t="s">
        <v>14</v>
      </c>
      <c r="S39" s="668">
        <f t="shared" si="10"/>
        <v>100</v>
      </c>
      <c r="T39" s="667" t="s">
        <v>14</v>
      </c>
      <c r="U39" s="668">
        <f t="shared" si="11"/>
        <v>100</v>
      </c>
      <c r="V39" s="667" t="s">
        <v>14</v>
      </c>
      <c r="W39" s="668">
        <f t="shared" si="12"/>
        <v>100</v>
      </c>
      <c r="X39" s="1265"/>
      <c r="Y39" s="3435"/>
      <c r="Z39" s="1264">
        <f t="shared" si="13"/>
        <v>111</v>
      </c>
      <c r="AA39" s="1264">
        <f t="shared" si="3"/>
        <v>1</v>
      </c>
      <c r="AB39" s="1264">
        <f t="shared" si="4"/>
        <v>1</v>
      </c>
      <c r="AC39" s="1264">
        <f t="shared" si="5"/>
        <v>1</v>
      </c>
    </row>
    <row r="40" spans="1:31" s="408" customFormat="1" ht="15.75" thickBot="1">
      <c r="A40" s="406"/>
      <c r="B40" s="1067">
        <v>111</v>
      </c>
      <c r="C40" s="1827"/>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35"/>
      <c r="Q40" s="1263">
        <f t="shared" si="14"/>
        <v>111</v>
      </c>
      <c r="R40" s="669" t="s">
        <v>14</v>
      </c>
      <c r="S40" s="670">
        <f t="shared" si="10"/>
        <v>100</v>
      </c>
      <c r="T40" s="669" t="s">
        <v>14</v>
      </c>
      <c r="U40" s="670">
        <f t="shared" si="11"/>
        <v>100</v>
      </c>
      <c r="V40" s="669" t="s">
        <v>14</v>
      </c>
      <c r="W40" s="670">
        <f t="shared" si="12"/>
        <v>100</v>
      </c>
      <c r="X40" s="671"/>
      <c r="Y40" s="3435"/>
      <c r="Z40" s="672">
        <f t="shared" si="13"/>
        <v>111</v>
      </c>
      <c r="AA40" s="1264">
        <f t="shared" si="3"/>
        <v>1</v>
      </c>
      <c r="AB40" s="1264">
        <f t="shared" si="4"/>
        <v>1</v>
      </c>
      <c r="AC40" s="1264">
        <f t="shared" si="5"/>
        <v>1</v>
      </c>
    </row>
    <row r="41" spans="1:31" ht="15">
      <c r="A41" s="416" t="s">
        <v>1844</v>
      </c>
      <c r="B41" s="1828" t="s">
        <v>1922</v>
      </c>
      <c r="C41" s="602" t="s">
        <v>0</v>
      </c>
      <c r="D41" s="418"/>
      <c r="E41" s="419"/>
      <c r="F41" s="420"/>
      <c r="G41" s="421"/>
      <c r="H41" s="422"/>
      <c r="I41" s="419"/>
      <c r="J41" s="422"/>
      <c r="K41" s="674"/>
      <c r="L41" s="2493"/>
      <c r="M41" s="2486"/>
      <c r="N41" s="2486"/>
      <c r="O41" s="2486"/>
      <c r="P41" s="3429" t="str">
        <f>A41</f>
        <v>成交单价</v>
      </c>
      <c r="Q41" s="3429"/>
      <c r="R41" s="3424">
        <f>E41</f>
        <v>0</v>
      </c>
      <c r="S41" s="3424"/>
      <c r="T41" s="3424">
        <f>G41</f>
        <v>0</v>
      </c>
      <c r="U41" s="3424"/>
      <c r="V41" s="3424">
        <f>I41</f>
        <v>0</v>
      </c>
      <c r="W41" s="3424"/>
      <c r="X41" s="385"/>
      <c r="Y41" s="673"/>
      <c r="Z41" s="385"/>
      <c r="AA41" s="385"/>
      <c r="AB41" s="385"/>
      <c r="AC41" s="385"/>
    </row>
    <row r="42" spans="1:31" ht="15.75" thickBot="1">
      <c r="A42" s="423" t="s">
        <v>1793</v>
      </c>
      <c r="B42" s="603"/>
      <c r="C42" s="426" t="e">
        <f>R43</f>
        <v>#DIV/0!</v>
      </c>
      <c r="D42" s="2139" t="s">
        <v>2138</v>
      </c>
      <c r="E42" s="426" t="e">
        <f>R42</f>
        <v>#DIV/0!</v>
      </c>
      <c r="F42" s="2140"/>
      <c r="G42" s="425" t="e">
        <f>T42</f>
        <v>#DIV/0!</v>
      </c>
      <c r="H42" s="2140"/>
      <c r="I42" s="426" t="e">
        <f>V42</f>
        <v>#DIV/0!</v>
      </c>
      <c r="J42" s="2140"/>
      <c r="K42" s="2142">
        <f>F42+H42+J42</f>
        <v>0</v>
      </c>
      <c r="L42" s="2493"/>
      <c r="M42" s="2486"/>
      <c r="N42" s="2486"/>
      <c r="O42" s="2486"/>
      <c r="P42" s="3429" t="str">
        <f>A42</f>
        <v>比较价值（元/平方米）</v>
      </c>
      <c r="Q42" s="3429"/>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5.75" thickBot="1">
      <c r="A43" s="427" t="s">
        <v>1794</v>
      </c>
      <c r="B43" s="428"/>
      <c r="C43" s="429" t="e">
        <f>R43</f>
        <v>#DIV/0!</v>
      </c>
      <c r="D43" s="429"/>
      <c r="E43" s="429"/>
      <c r="F43" s="429"/>
      <c r="G43" s="429"/>
      <c r="H43" s="429"/>
      <c r="I43" s="429"/>
      <c r="J43" s="429"/>
      <c r="K43" s="675"/>
      <c r="L43" s="2493"/>
      <c r="M43" s="2486"/>
      <c r="N43" s="2486"/>
      <c r="O43" s="2486"/>
      <c r="P43" s="3426" t="str">
        <f>A43</f>
        <v>估价对象XX用房的比较价值（楼面单价，元/平方米）</v>
      </c>
      <c r="Q43" s="3427"/>
      <c r="R43" s="3457" t="e">
        <f>ROUND(IF(D42="简单平均",AVERAGE(R42:W42),R42*F42+T42*H42+V42*J42),0)</f>
        <v>#DIV/0!</v>
      </c>
      <c r="S43" s="3457"/>
      <c r="T43" s="3457"/>
      <c r="U43" s="3457"/>
      <c r="V43" s="3457"/>
      <c r="W43" s="345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7">
      <c r="A50" s="604" t="s">
        <v>1881</v>
      </c>
      <c r="B50" s="605" t="s">
        <v>1882</v>
      </c>
      <c r="C50" s="1829" t="s">
        <v>1883</v>
      </c>
      <c r="D50" s="1830" t="s">
        <v>1884</v>
      </c>
      <c r="E50" s="606" t="s">
        <v>1885</v>
      </c>
      <c r="F50" s="607" t="s">
        <v>1886</v>
      </c>
      <c r="G50" s="3412" t="s">
        <v>1887</v>
      </c>
      <c r="H50" s="3458"/>
      <c r="I50" s="1264" t="s">
        <v>1923</v>
      </c>
      <c r="J50" s="1264">
        <f>项目基本情况!F35</f>
        <v>0</v>
      </c>
      <c r="K50" s="1832"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32.74</v>
      </c>
      <c r="F51" s="611" t="e">
        <f t="shared" ref="F51:F60" si="15">ROUND(B51*E51/10000,0)</f>
        <v>#DIV/0!</v>
      </c>
      <c r="G51" s="3411"/>
      <c r="H51" s="3429"/>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0.6</v>
      </c>
      <c r="D52" s="891">
        <v>0.25</v>
      </c>
      <c r="E52" s="614"/>
      <c r="F52" s="611" t="e">
        <f t="shared" si="15"/>
        <v>#DIV/0!</v>
      </c>
      <c r="G52" s="2749" t="s">
        <v>1892</v>
      </c>
      <c r="H52" s="834" t="str">
        <f>项目基本情况!B37</f>
        <v>五级</v>
      </c>
      <c r="I52" s="727">
        <f>SUMIF(修正!A59:A70,H52,修正!B59:B70)</f>
        <v>0.6</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0.3</v>
      </c>
      <c r="D53" s="891">
        <v>0.25</v>
      </c>
      <c r="E53" s="614"/>
      <c r="F53" s="611" t="e">
        <f t="shared" si="15"/>
        <v>#DIV/0!</v>
      </c>
      <c r="G53" s="2750"/>
      <c r="H53" s="834" t="str">
        <f>项目基本情况!B37</f>
        <v>五级</v>
      </c>
      <c r="I53" s="727">
        <f>SUMIF(修正!A59:A70,H53,修正!C59:C70)</f>
        <v>0.3</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0.25</v>
      </c>
      <c r="D54" s="891">
        <v>0.25</v>
      </c>
      <c r="E54" s="614"/>
      <c r="F54" s="611" t="e">
        <f t="shared" si="15"/>
        <v>#DIV/0!</v>
      </c>
      <c r="G54" s="2750"/>
      <c r="H54" s="834" t="str">
        <f>项目基本情况!B37</f>
        <v>五级</v>
      </c>
      <c r="I54" s="727">
        <f>SUMIF(修正!A59:A70,H54,修正!D59:D70)</f>
        <v>0.25</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3" t="s">
        <v>1896</v>
      </c>
      <c r="H56" s="834" t="str">
        <f>项目基本情况!C37</f>
        <v>五级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五级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0.15</v>
      </c>
      <c r="D59" s="891">
        <v>0.25</v>
      </c>
      <c r="E59" s="209">
        <f>'数据-汇总表'!E14</f>
        <v>0</v>
      </c>
      <c r="F59" s="611" t="e">
        <f t="shared" si="15"/>
        <v>#DIV/0!</v>
      </c>
      <c r="G59" s="1833" t="s">
        <v>1892</v>
      </c>
      <c r="H59" s="834" t="str">
        <f>项目基本情况!B37</f>
        <v>五级</v>
      </c>
      <c r="I59" s="727">
        <f>SUMIF(修正!A59:A70,H59,修正!G59:G70)</f>
        <v>0.15</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5" thickBot="1">
      <c r="A60" s="613" t="s">
        <v>1902</v>
      </c>
      <c r="B60" s="210" t="e">
        <f t="shared" si="17"/>
        <v>#DIV/0!</v>
      </c>
      <c r="C60" s="163">
        <f t="shared" si="16"/>
        <v>0.15</v>
      </c>
      <c r="D60" s="891">
        <v>0.25</v>
      </c>
      <c r="E60" s="209">
        <f>'数据-汇总表'!E15</f>
        <v>0</v>
      </c>
      <c r="F60" s="611" t="e">
        <f t="shared" si="15"/>
        <v>#DIV/0!</v>
      </c>
      <c r="G60" s="1834" t="s">
        <v>1896</v>
      </c>
      <c r="H60" s="844" t="str">
        <f>项目基本情况!C37</f>
        <v>五级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2025-12-1</v>
      </c>
      <c r="D63" s="656">
        <f>EDATE(C63,-3)</f>
        <v>45901</v>
      </c>
      <c r="E63" s="656">
        <f>EDATE(D63,-3)</f>
        <v>45809</v>
      </c>
      <c r="F63" s="656">
        <f t="shared" ref="F63:O63" si="18">EDATE(E63,-3)</f>
        <v>45717</v>
      </c>
      <c r="G63" s="656">
        <f t="shared" si="18"/>
        <v>45627</v>
      </c>
      <c r="H63" s="656">
        <f t="shared" si="18"/>
        <v>45536</v>
      </c>
      <c r="I63" s="656">
        <f t="shared" si="18"/>
        <v>45444</v>
      </c>
      <c r="J63" s="656">
        <f t="shared" si="18"/>
        <v>45352</v>
      </c>
      <c r="K63" s="656">
        <f t="shared" si="18"/>
        <v>45261</v>
      </c>
      <c r="L63" s="656">
        <f t="shared" si="18"/>
        <v>45170</v>
      </c>
      <c r="M63" s="656">
        <f t="shared" si="18"/>
        <v>45078</v>
      </c>
      <c r="N63" s="656">
        <f t="shared" si="18"/>
        <v>44986</v>
      </c>
      <c r="O63" s="656">
        <f t="shared" si="18"/>
        <v>44896</v>
      </c>
      <c r="P63" s="2486"/>
      <c r="Q63" s="2486"/>
      <c r="R63" s="2486"/>
      <c r="S63" s="2486"/>
      <c r="T63" s="2486"/>
      <c r="U63" s="2486"/>
      <c r="V63" s="2486"/>
      <c r="W63" s="2486"/>
      <c r="X63" s="2486"/>
      <c r="Y63" s="2486"/>
      <c r="Z63" s="2486"/>
      <c r="AA63" s="2486"/>
      <c r="AB63" s="2486"/>
      <c r="AC63" s="2486"/>
      <c r="AD63" s="2486"/>
      <c r="AE63" s="2486"/>
    </row>
    <row r="64" spans="1:31" ht="21.7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5">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39"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8"/>
      <c r="R66" s="2438"/>
      <c r="S66" s="2438"/>
      <c r="T66" s="2438"/>
      <c r="U66" s="2438"/>
      <c r="V66" s="2438"/>
      <c r="W66" s="2438"/>
      <c r="X66" s="2438"/>
      <c r="Y66" s="2438"/>
      <c r="Z66" s="2438"/>
      <c r="AA66" s="2438"/>
      <c r="AB66" s="2438"/>
      <c r="AC66" s="2438"/>
      <c r="AD66" s="2438"/>
      <c r="AE66" s="2438"/>
    </row>
    <row r="67" spans="1:31" s="102" customFormat="1" ht="15.75" thickBot="1">
      <c r="A67" s="449" t="s">
        <v>1716</v>
      </c>
      <c r="B67" s="450"/>
      <c r="C67" s="451"/>
      <c r="D67" s="452"/>
      <c r="E67" s="452"/>
      <c r="F67" s="452"/>
      <c r="G67" s="452"/>
      <c r="H67" s="452"/>
      <c r="I67" s="452"/>
      <c r="J67" s="452"/>
      <c r="K67" s="452"/>
      <c r="L67" s="452"/>
      <c r="M67" s="453"/>
      <c r="N67" s="453"/>
      <c r="O67" s="454"/>
      <c r="P67" s="2507"/>
      <c r="Q67" s="2507"/>
      <c r="R67" s="2438"/>
      <c r="S67" s="2438"/>
      <c r="T67" s="2438"/>
      <c r="U67" s="2438"/>
      <c r="V67" s="2438"/>
      <c r="W67" s="2438"/>
      <c r="X67" s="2438"/>
      <c r="Y67" s="2438"/>
      <c r="Z67" s="2438"/>
      <c r="AA67" s="2438"/>
      <c r="AB67" s="2438"/>
      <c r="AC67" s="2438"/>
      <c r="AD67" s="2438"/>
      <c r="AE67" s="2438"/>
    </row>
    <row r="68" spans="1:31" s="102" customFormat="1" ht="15">
      <c r="A68" s="455" t="s">
        <v>1681</v>
      </c>
      <c r="B68" s="444"/>
      <c r="C68" s="456" t="s">
        <v>1776</v>
      </c>
      <c r="D68" s="31"/>
      <c r="E68" s="31"/>
      <c r="F68" s="31"/>
      <c r="G68" s="31"/>
      <c r="H68" s="31"/>
      <c r="I68" s="31"/>
      <c r="J68" s="31"/>
      <c r="K68" s="31"/>
      <c r="L68" s="457"/>
      <c r="M68" s="458"/>
      <c r="N68" s="2519"/>
      <c r="O68" s="2519"/>
      <c r="P68" s="2543"/>
      <c r="Q68" s="2507"/>
      <c r="R68" s="2438"/>
      <c r="S68" s="2438"/>
      <c r="T68" s="2438"/>
      <c r="U68" s="2438"/>
      <c r="V68" s="2438"/>
      <c r="W68" s="2438"/>
      <c r="X68" s="2438"/>
      <c r="Y68" s="2438"/>
      <c r="Z68" s="2438"/>
      <c r="AA68" s="2438"/>
      <c r="AB68" s="2438"/>
      <c r="AC68" s="2438"/>
      <c r="AD68" s="2438"/>
      <c r="AE68" s="2438"/>
    </row>
    <row r="69" spans="1:31" s="102" customFormat="1" ht="15.75" thickBot="1">
      <c r="A69" s="455"/>
      <c r="B69" s="444"/>
      <c r="C69" s="563">
        <v>100</v>
      </c>
      <c r="D69" s="446"/>
      <c r="E69" s="446"/>
      <c r="F69" s="446"/>
      <c r="G69" s="446"/>
      <c r="H69" s="446"/>
      <c r="I69" s="446"/>
      <c r="J69" s="446"/>
      <c r="K69" s="446"/>
      <c r="L69" s="446"/>
      <c r="M69" s="448"/>
      <c r="N69" s="2519"/>
      <c r="O69" s="2519"/>
      <c r="P69" s="2507"/>
      <c r="Q69" s="2507"/>
      <c r="R69" s="2438"/>
      <c r="S69" s="2438"/>
      <c r="T69" s="2438"/>
      <c r="U69" s="2438"/>
      <c r="V69" s="2438"/>
      <c r="W69" s="2438"/>
      <c r="X69" s="2438"/>
      <c r="Y69" s="2438"/>
      <c r="Z69" s="2438"/>
      <c r="AA69" s="2438"/>
      <c r="AB69" s="2438"/>
      <c r="AC69" s="2438"/>
      <c r="AD69" s="2438"/>
      <c r="AE69" s="2438"/>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5.7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7.7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5.7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7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ht="15">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5.7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5.7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5.7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5.7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5.7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5.7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7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15.7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8"/>
      <c r="S87" s="2438"/>
      <c r="T87" s="2438"/>
      <c r="U87" s="2438"/>
      <c r="V87" s="2438"/>
      <c r="W87" s="2438"/>
      <c r="X87" s="2438"/>
      <c r="Y87" s="2438"/>
      <c r="Z87" s="2438"/>
      <c r="AA87" s="2438"/>
      <c r="AB87" s="2438"/>
      <c r="AC87" s="2438"/>
      <c r="AD87" s="2438"/>
      <c r="AE87" s="2438"/>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8"/>
      <c r="S88" s="2438"/>
      <c r="T88" s="2438"/>
      <c r="U88" s="2438"/>
      <c r="V88" s="2438"/>
      <c r="W88" s="2438"/>
      <c r="X88" s="2438"/>
      <c r="Y88" s="2438"/>
      <c r="Z88" s="2438"/>
      <c r="AA88" s="2438"/>
      <c r="AB88" s="2438"/>
      <c r="AC88" s="2438"/>
      <c r="AD88" s="2438"/>
      <c r="AE88" s="2438"/>
    </row>
    <row r="89" spans="1:31" s="102" customFormat="1" ht="27.7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8"/>
      <c r="S89" s="2438"/>
      <c r="T89" s="2438"/>
      <c r="U89" s="2438"/>
      <c r="V89" s="2438"/>
      <c r="W89" s="2438"/>
      <c r="X89" s="2438"/>
      <c r="Y89" s="2438"/>
      <c r="Z89" s="2438"/>
      <c r="AA89" s="2438"/>
      <c r="AB89" s="2438"/>
      <c r="AC89" s="2438"/>
      <c r="AD89" s="2438"/>
      <c r="AE89" s="2438"/>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8"/>
      <c r="S90" s="2438"/>
      <c r="T90" s="2438"/>
      <c r="U90" s="2438"/>
      <c r="V90" s="2438"/>
      <c r="W90" s="2438"/>
      <c r="X90" s="2438"/>
      <c r="Y90" s="2438"/>
      <c r="Z90" s="2438"/>
      <c r="AA90" s="2438"/>
      <c r="AB90" s="2438"/>
      <c r="AC90" s="2438"/>
      <c r="AD90" s="2438"/>
      <c r="AE90" s="2438"/>
    </row>
    <row r="91" spans="1:31" s="408" customFormat="1" ht="15.7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7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7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7.7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7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5.7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5.7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5.7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5.7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ht="15">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5.7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5.7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5.7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5.7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34" priority="13" stopIfTrue="1">
      <formula>$F$46="超过30%"</formula>
    </cfRule>
  </conditionalFormatting>
  <conditionalFormatting sqref="E47">
    <cfRule type="expression" dxfId="33" priority="53" stopIfTrue="1">
      <formula>#REF!+$F$47="超过20%"</formula>
    </cfRule>
  </conditionalFormatting>
  <conditionalFormatting sqref="E48">
    <cfRule type="expression" dxfId="32" priority="10" stopIfTrue="1">
      <formula>$F$48="超过30%"</formula>
    </cfRule>
  </conditionalFormatting>
  <conditionalFormatting sqref="F7:F40 H7:H40 J7:J40">
    <cfRule type="cellIs" dxfId="31" priority="1" operator="notEqual">
      <formula>100</formula>
    </cfRule>
  </conditionalFormatting>
  <conditionalFormatting sqref="F42">
    <cfRule type="expression" dxfId="30" priority="4">
      <formula>$D$42="简单平均"</formula>
    </cfRule>
  </conditionalFormatting>
  <conditionalFormatting sqref="F46:F48 H46:H48 J46:J48">
    <cfRule type="containsText" dxfId="29" priority="14" stopIfTrue="1" operator="containsText" text="超过">
      <formula>NOT(ISERROR(SEARCH("超过",F46)))</formula>
    </cfRule>
  </conditionalFormatting>
  <conditionalFormatting sqref="G46">
    <cfRule type="expression" dxfId="28" priority="9" stopIfTrue="1">
      <formula>$H$46="超过30%"</formula>
    </cfRule>
  </conditionalFormatting>
  <conditionalFormatting sqref="G47">
    <cfRule type="expression" dxfId="27" priority="8" stopIfTrue="1">
      <formula>$H$47="超过20%"</formula>
    </cfRule>
  </conditionalFormatting>
  <conditionalFormatting sqref="G48">
    <cfRule type="expression" dxfId="26" priority="12" stopIfTrue="1">
      <formula>$H$48="超过30%"</formula>
    </cfRule>
  </conditionalFormatting>
  <conditionalFormatting sqref="H42">
    <cfRule type="expression" dxfId="25" priority="3">
      <formula>$D$42="简单平均"</formula>
    </cfRule>
  </conditionalFormatting>
  <conditionalFormatting sqref="I46">
    <cfRule type="expression" dxfId="24" priority="7" stopIfTrue="1">
      <formula>$J$46="超过30%"</formula>
    </cfRule>
  </conditionalFormatting>
  <conditionalFormatting sqref="I47">
    <cfRule type="expression" dxfId="23" priority="6" stopIfTrue="1">
      <formula>$J$47="超过20%"</formula>
    </cfRule>
  </conditionalFormatting>
  <conditionalFormatting sqref="I48">
    <cfRule type="expression" dxfId="22" priority="5" stopIfTrue="1">
      <formula>$J$48="超过30%"</formula>
    </cfRule>
  </conditionalFormatting>
  <conditionalFormatting sqref="J42">
    <cfRule type="expression" dxfId="21"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6" t="s">
        <v>2084</v>
      </c>
      <c r="D1" s="3467"/>
      <c r="E1" s="3467"/>
      <c r="F1" s="3467"/>
      <c r="G1" s="3467"/>
      <c r="H1" s="3467"/>
      <c r="I1" s="3467"/>
      <c r="J1" s="3467"/>
      <c r="K1" s="3467"/>
      <c r="L1" s="3467"/>
      <c r="M1" s="3467"/>
      <c r="N1" s="3467"/>
      <c r="O1" s="3467"/>
      <c r="P1" s="3467"/>
      <c r="Q1" s="3467"/>
      <c r="R1" s="3467"/>
      <c r="S1" s="3468"/>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4" t="s">
        <v>2093</v>
      </c>
      <c r="B17" s="1985"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6" t="s">
        <v>2095</v>
      </c>
      <c r="E19" s="1253"/>
      <c r="F19" s="1253"/>
      <c r="G19" s="1253"/>
      <c r="H19" s="996"/>
      <c r="I19" s="151"/>
      <c r="J19" s="151"/>
      <c r="K19" s="151"/>
      <c r="L19" s="151"/>
      <c r="M19" s="151"/>
      <c r="N19" s="151"/>
      <c r="O19" s="151"/>
      <c r="P19" s="151"/>
      <c r="Q19" s="151"/>
      <c r="R19" s="151"/>
      <c r="S19" s="121"/>
    </row>
    <row r="20" spans="1:45" ht="16.5" thickBot="1">
      <c r="A20" s="632" t="s">
        <v>2096</v>
      </c>
      <c r="B20" s="286" t="e">
        <f ca="1">IF(D20="——",S22,S22-F20)</f>
        <v>#REF!</v>
      </c>
      <c r="C20" s="151"/>
      <c r="D20" s="1987"/>
      <c r="E20" s="1254"/>
      <c r="F20" s="929" t="e">
        <f ca="1">SUMIF(INDIRECT("'"&amp;H20&amp;"'"&amp;"!A:A"),"承租人权益价值",INDIRECT("'"&amp;H20&amp;"'"&amp;"!c:c"))</f>
        <v>#REF!</v>
      </c>
      <c r="G20" s="929" t="s">
        <v>2097</v>
      </c>
      <c r="H20" s="1988"/>
      <c r="I20" s="151"/>
      <c r="J20" s="151"/>
      <c r="K20" s="151"/>
      <c r="L20" s="151"/>
      <c r="M20" s="151"/>
      <c r="N20" s="151"/>
      <c r="O20" s="151"/>
      <c r="P20" s="151"/>
      <c r="Q20" s="151"/>
      <c r="R20" s="151"/>
      <c r="S20" s="121"/>
    </row>
    <row r="21" spans="1:45" ht="15.7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0"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16459-C8B7-475C-AE6D-E06754915DD7}">
  <sheetPr>
    <tabColor rgb="FFFFC000"/>
    <pageSetUpPr fitToPage="1"/>
  </sheetPr>
  <dimension ref="A1:AC148"/>
  <sheetViews>
    <sheetView view="pageBreakPreview" topLeftCell="A10" zoomScale="115" zoomScaleNormal="60" zoomScaleSheetLayoutView="115" workbookViewId="0">
      <selection activeCell="I21" sqref="I21"/>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50" customFormat="1" ht="28.5" customHeight="1" thickBot="1">
      <c r="A1" s="1139" t="s">
        <v>1660</v>
      </c>
      <c r="B1" s="1734" t="s">
        <v>1661</v>
      </c>
      <c r="C1" s="1155" t="s">
        <v>1662</v>
      </c>
      <c r="D1" s="1142" t="s">
        <v>3468</v>
      </c>
      <c r="E1" s="3123" t="s">
        <v>3488</v>
      </c>
      <c r="F1" s="1735" t="s">
        <v>3489</v>
      </c>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f>IF(E1="项目模式",IF(C2="——",ROUND(C49*D3/10000,0),ROUND(C49*D3/10000,0)-D2),IF(E1="单套模式",IF(C2="——",ROUND(C49*D3/10000,4),ROUND(C49*D3/10000,4)-D2)))</f>
        <v>1.54E-2</v>
      </c>
      <c r="C2" s="1737" t="s">
        <v>43</v>
      </c>
      <c r="D2" s="1052" t="e">
        <f ca="1">IF(E1="项目模式",SUMIF(INDIRECT("'"&amp;F2&amp;"'"&amp;"!A:A"),"承租人权益价值",INDIRECT("'"&amp;F2&amp;"'"&amp;"!c:c")),SUMIF(INDIRECT("'"&amp;F2&amp;"'"&amp;"!A:A"),"承租人权益价值（单套）",INDIRECT("'"&amp;F2&amp;"'"&amp;"!c:c")))</f>
        <v>#REF!</v>
      </c>
      <c r="E2" s="1738" t="s">
        <v>1463</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4.7</v>
      </c>
      <c r="C3" s="344" t="s">
        <v>1665</v>
      </c>
      <c r="D3" s="343">
        <f>IF(D1="",'数据-汇总表'!E3,SUMIF('数据-汇总表'!$C19:$C33,D1,'数据-汇总表'!$E19:$E33))</f>
        <v>32.74</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5">
      <c r="A4" s="345" t="s">
        <v>1666</v>
      </c>
      <c r="B4" s="346"/>
      <c r="C4" s="3412" t="s">
        <v>1667</v>
      </c>
      <c r="D4" s="3413"/>
      <c r="E4" s="3414" t="s">
        <v>1668</v>
      </c>
      <c r="F4" s="3415"/>
      <c r="G4" s="3412" t="s">
        <v>1669</v>
      </c>
      <c r="H4" s="3413"/>
      <c r="I4" s="3412" t="s">
        <v>1670</v>
      </c>
      <c r="J4" s="3413"/>
      <c r="K4" s="1744" t="s">
        <v>1671</v>
      </c>
      <c r="L4" s="2485"/>
      <c r="M4" s="2486"/>
      <c r="N4" s="2486"/>
      <c r="O4" s="2486"/>
      <c r="P4" s="3416" t="s">
        <v>1672</v>
      </c>
      <c r="Q4" s="3417"/>
      <c r="R4" s="3398" t="s">
        <v>1668</v>
      </c>
      <c r="S4" s="3399"/>
      <c r="T4" s="3398" t="s">
        <v>1669</v>
      </c>
      <c r="U4" s="3399"/>
      <c r="V4" s="3424" t="s">
        <v>1670</v>
      </c>
      <c r="W4" s="3424"/>
      <c r="X4" s="1265"/>
      <c r="Y4" s="3398" t="s">
        <v>1672</v>
      </c>
      <c r="Z4" s="3399"/>
      <c r="AA4" s="3393" t="s">
        <v>1668</v>
      </c>
      <c r="AB4" s="3393" t="s">
        <v>1669</v>
      </c>
      <c r="AC4" s="3393" t="s">
        <v>1670</v>
      </c>
    </row>
    <row r="5" spans="1:29" ht="15">
      <c r="A5" s="348"/>
      <c r="B5" s="349"/>
      <c r="C5" s="3404" t="s">
        <v>3478</v>
      </c>
      <c r="D5" s="3405"/>
      <c r="E5" s="3402" t="str">
        <f>C5</f>
        <v>西山国际城</v>
      </c>
      <c r="F5" s="3403"/>
      <c r="G5" s="3408" t="str">
        <f>E5</f>
        <v>西山国际城</v>
      </c>
      <c r="H5" s="3405"/>
      <c r="I5" s="3408" t="str">
        <f>G5</f>
        <v>西山国际城</v>
      </c>
      <c r="J5" s="3405"/>
      <c r="K5" s="1745"/>
      <c r="L5" s="2485"/>
      <c r="M5" s="2486"/>
      <c r="N5" s="2486"/>
      <c r="O5" s="2486"/>
      <c r="P5" s="3418"/>
      <c r="Q5" s="3419"/>
      <c r="R5" s="3400"/>
      <c r="S5" s="3401"/>
      <c r="T5" s="3400"/>
      <c r="U5" s="3401"/>
      <c r="V5" s="3424"/>
      <c r="W5" s="3424"/>
      <c r="X5" s="1265"/>
      <c r="Y5" s="3400"/>
      <c r="Z5" s="3401"/>
      <c r="AA5" s="3394"/>
      <c r="AB5" s="3394"/>
      <c r="AC5" s="3394"/>
    </row>
    <row r="6" spans="1:29" ht="15.75" thickBot="1">
      <c r="A6" s="350"/>
      <c r="B6" s="351"/>
      <c r="C6" s="3406" t="s">
        <v>1677</v>
      </c>
      <c r="D6" s="3407"/>
      <c r="E6" s="3409" t="s">
        <v>1677</v>
      </c>
      <c r="F6" s="3410"/>
      <c r="G6" s="3406" t="s">
        <v>1677</v>
      </c>
      <c r="H6" s="3407"/>
      <c r="I6" s="3406" t="s">
        <v>1677</v>
      </c>
      <c r="J6" s="3407"/>
      <c r="K6" s="1745" t="s">
        <v>1678</v>
      </c>
      <c r="L6" s="2485"/>
      <c r="M6" s="2486"/>
      <c r="N6" s="2486"/>
      <c r="O6" s="2486"/>
      <c r="P6" s="3420"/>
      <c r="Q6" s="3421"/>
      <c r="R6" s="3400"/>
      <c r="S6" s="3401"/>
      <c r="T6" s="3422"/>
      <c r="U6" s="3423"/>
      <c r="V6" s="3424"/>
      <c r="W6" s="3424"/>
      <c r="X6" s="1265"/>
      <c r="Y6" s="3422"/>
      <c r="Z6" s="3423"/>
      <c r="AA6" s="3395"/>
      <c r="AB6" s="3395"/>
      <c r="AC6" s="3395"/>
    </row>
    <row r="7" spans="1:29" s="102" customFormat="1" ht="15.75" thickBot="1">
      <c r="A7" s="352" t="s">
        <v>1679</v>
      </c>
      <c r="B7" s="353"/>
      <c r="C7" s="354">
        <f>'数据-取费表'!B2</f>
        <v>46015</v>
      </c>
      <c r="D7" s="355">
        <v>100</v>
      </c>
      <c r="E7" s="356">
        <f>案例!I15</f>
        <v>45952</v>
      </c>
      <c r="F7" s="357">
        <f>SUMIF(58:58,YEAR(E7)&amp;"-"&amp;MONTH(E7),59:59)</f>
        <v>100</v>
      </c>
      <c r="G7" s="356">
        <f>案例!I16</f>
        <v>45910</v>
      </c>
      <c r="H7" s="355">
        <f>SUMIF(58:58,YEAR(G7)&amp;"-"&amp;MONTH(G7),59:59)</f>
        <v>100</v>
      </c>
      <c r="I7" s="356">
        <f>案例!I17</f>
        <v>45899</v>
      </c>
      <c r="J7" s="355">
        <f>SUMIF(58:58,YEAR(I7)&amp;"-"&amp;MONTH(I7),59:59)</f>
        <v>100</v>
      </c>
      <c r="K7" s="1746"/>
      <c r="L7" s="2487"/>
      <c r="M7" s="2438"/>
      <c r="N7" s="2438"/>
      <c r="O7" s="2438"/>
      <c r="P7" s="3396" t="s">
        <v>1680</v>
      </c>
      <c r="Q7" s="3425"/>
      <c r="R7" s="664" t="s">
        <v>14</v>
      </c>
      <c r="S7" s="665">
        <f t="shared" ref="S7:S15" si="0">F7</f>
        <v>100</v>
      </c>
      <c r="T7" s="664" t="s">
        <v>14</v>
      </c>
      <c r="U7" s="665">
        <f t="shared" ref="U7:U15" si="1">H7</f>
        <v>100</v>
      </c>
      <c r="V7" s="664" t="s">
        <v>14</v>
      </c>
      <c r="W7" s="665">
        <f t="shared" ref="W7:W15" si="2">J7</f>
        <v>100</v>
      </c>
      <c r="X7" s="666"/>
      <c r="Y7" s="3396" t="s">
        <v>1680</v>
      </c>
      <c r="Z7" s="3397"/>
      <c r="AA7" s="50">
        <f>D7/F7</f>
        <v>1</v>
      </c>
      <c r="AB7" s="50">
        <f>D7/H7</f>
        <v>1</v>
      </c>
      <c r="AC7" s="50">
        <f>D7/J7</f>
        <v>1</v>
      </c>
    </row>
    <row r="8" spans="1:29" s="102" customFormat="1" ht="15.7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8"/>
      <c r="N8" s="2438"/>
      <c r="O8" s="2438"/>
      <c r="P8" s="3396" t="s">
        <v>1683</v>
      </c>
      <c r="Q8" s="3397"/>
      <c r="R8" s="664" t="s">
        <v>14</v>
      </c>
      <c r="S8" s="665">
        <f t="shared" si="0"/>
        <v>100</v>
      </c>
      <c r="T8" s="664" t="s">
        <v>14</v>
      </c>
      <c r="U8" s="665">
        <f t="shared" si="1"/>
        <v>100</v>
      </c>
      <c r="V8" s="664" t="s">
        <v>14</v>
      </c>
      <c r="W8" s="665">
        <f t="shared" si="2"/>
        <v>100</v>
      </c>
      <c r="X8" s="666"/>
      <c r="Y8" s="3396" t="s">
        <v>1683</v>
      </c>
      <c r="Z8" s="3397"/>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8"/>
      <c r="N9" s="2438"/>
      <c r="O9" s="2438"/>
      <c r="P9" s="3411" t="s">
        <v>1686</v>
      </c>
      <c r="Q9" s="530" t="str">
        <f t="shared" ref="Q9:Q15" si="6">B9</f>
        <v>用途</v>
      </c>
      <c r="R9" s="664" t="s">
        <v>14</v>
      </c>
      <c r="S9" s="665">
        <f t="shared" si="0"/>
        <v>100</v>
      </c>
      <c r="T9" s="664" t="s">
        <v>14</v>
      </c>
      <c r="U9" s="665">
        <f t="shared" si="1"/>
        <v>100</v>
      </c>
      <c r="V9" s="664" t="s">
        <v>14</v>
      </c>
      <c r="W9" s="665">
        <f t="shared" si="2"/>
        <v>100</v>
      </c>
      <c r="X9" s="666"/>
      <c r="Y9" s="3340" t="s">
        <v>1687</v>
      </c>
      <c r="Z9" s="50" t="str">
        <f t="shared" ref="Z9:Z15" si="7">Q9</f>
        <v>用途</v>
      </c>
      <c r="AA9" s="50">
        <f t="shared" si="3"/>
        <v>1</v>
      </c>
      <c r="AB9" s="50">
        <f t="shared" si="4"/>
        <v>1</v>
      </c>
      <c r="AC9" s="50">
        <f t="shared" si="5"/>
        <v>1</v>
      </c>
    </row>
    <row r="10" spans="1:29" s="366" customFormat="1" ht="27">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411"/>
      <c r="Q10" s="530" t="str">
        <f t="shared" si="6"/>
        <v>土地使用年限（年）</v>
      </c>
      <c r="R10" s="664" t="s">
        <v>14</v>
      </c>
      <c r="S10" s="665">
        <f t="shared" si="0"/>
        <v>100</v>
      </c>
      <c r="T10" s="664" t="s">
        <v>14</v>
      </c>
      <c r="U10" s="665">
        <f t="shared" si="1"/>
        <v>100</v>
      </c>
      <c r="V10" s="664" t="s">
        <v>14</v>
      </c>
      <c r="W10" s="665">
        <f t="shared" si="2"/>
        <v>100</v>
      </c>
      <c r="X10" s="666"/>
      <c r="Y10" s="3340"/>
      <c r="Z10" s="50" t="str">
        <f t="shared" si="7"/>
        <v>土地使用年限（年）</v>
      </c>
      <c r="AA10" s="50">
        <f t="shared" si="3"/>
        <v>1</v>
      </c>
      <c r="AB10" s="50">
        <f t="shared" si="4"/>
        <v>1</v>
      </c>
      <c r="AC10" s="50">
        <f t="shared" si="5"/>
        <v>1</v>
      </c>
    </row>
    <row r="11" spans="1:29" ht="15">
      <c r="A11" s="367"/>
      <c r="B11" s="364" t="s">
        <v>1689</v>
      </c>
      <c r="C11" s="368"/>
      <c r="D11" s="119">
        <v>100</v>
      </c>
      <c r="E11" s="369"/>
      <c r="F11" s="364">
        <f>LOOKUP(E11,68:68,69:69)-LOOKUP(C11,68:68,69:69)+100</f>
        <v>100</v>
      </c>
      <c r="G11" s="368"/>
      <c r="H11" s="119">
        <f>LOOKUP(G11,68:68,69:69)-LOOKUP(C11,68:68,69:69)+100</f>
        <v>100</v>
      </c>
      <c r="I11" s="368"/>
      <c r="J11" s="119">
        <f>LOOKUP(I11,68:68,69:69)-LOOKUP(C11,68:68,69:69)+100</f>
        <v>100</v>
      </c>
      <c r="K11" s="365"/>
      <c r="L11" s="2490"/>
      <c r="M11" s="2486"/>
      <c r="N11" s="2486"/>
      <c r="O11" s="2486"/>
      <c r="P11" s="3411"/>
      <c r="Q11" s="530" t="str">
        <f t="shared" si="6"/>
        <v>容积率</v>
      </c>
      <c r="R11" s="664" t="s">
        <v>14</v>
      </c>
      <c r="S11" s="665">
        <f t="shared" si="0"/>
        <v>100</v>
      </c>
      <c r="T11" s="664" t="s">
        <v>14</v>
      </c>
      <c r="U11" s="665">
        <f t="shared" si="1"/>
        <v>100</v>
      </c>
      <c r="V11" s="664" t="s">
        <v>14</v>
      </c>
      <c r="W11" s="665">
        <f t="shared" si="2"/>
        <v>100</v>
      </c>
      <c r="X11" s="666"/>
      <c r="Y11" s="3340"/>
      <c r="Z11" s="50" t="str">
        <f t="shared" si="7"/>
        <v>容积率</v>
      </c>
      <c r="AA11" s="50">
        <f t="shared" si="3"/>
        <v>1</v>
      </c>
      <c r="AB11" s="50">
        <f t="shared" si="4"/>
        <v>1</v>
      </c>
      <c r="AC11" s="50">
        <f t="shared" si="5"/>
        <v>1</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8"/>
      <c r="N12" s="2438"/>
      <c r="O12" s="2438"/>
      <c r="P12" s="3411"/>
      <c r="Q12" s="530">
        <f t="shared" si="6"/>
        <v>111</v>
      </c>
      <c r="R12" s="664" t="s">
        <v>14</v>
      </c>
      <c r="S12" s="665">
        <f t="shared" si="0"/>
        <v>100</v>
      </c>
      <c r="T12" s="664" t="s">
        <v>14</v>
      </c>
      <c r="U12" s="665">
        <f t="shared" si="1"/>
        <v>100</v>
      </c>
      <c r="V12" s="664" t="s">
        <v>14</v>
      </c>
      <c r="W12" s="665">
        <f t="shared" si="2"/>
        <v>100</v>
      </c>
      <c r="X12" s="666"/>
      <c r="Y12" s="3340"/>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411"/>
      <c r="Q13" s="530">
        <f t="shared" si="6"/>
        <v>111</v>
      </c>
      <c r="R13" s="664" t="s">
        <v>14</v>
      </c>
      <c r="S13" s="665">
        <f t="shared" si="0"/>
        <v>100</v>
      </c>
      <c r="T13" s="664" t="s">
        <v>14</v>
      </c>
      <c r="U13" s="665">
        <f t="shared" si="1"/>
        <v>100</v>
      </c>
      <c r="V13" s="664" t="s">
        <v>14</v>
      </c>
      <c r="W13" s="665">
        <f t="shared" si="2"/>
        <v>100</v>
      </c>
      <c r="X13" s="666"/>
      <c r="Y13" s="3340"/>
      <c r="Z13" s="50">
        <f t="shared" si="7"/>
        <v>111</v>
      </c>
      <c r="AA13" s="50">
        <f t="shared" si="3"/>
        <v>1</v>
      </c>
      <c r="AB13" s="50">
        <f t="shared" si="4"/>
        <v>1</v>
      </c>
      <c r="AC13" s="50">
        <f t="shared" si="5"/>
        <v>1</v>
      </c>
    </row>
    <row r="14" spans="1:29" ht="15.75"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411"/>
      <c r="Q14" s="530">
        <f t="shared" si="6"/>
        <v>111</v>
      </c>
      <c r="R14" s="664" t="s">
        <v>14</v>
      </c>
      <c r="S14" s="665">
        <f t="shared" si="0"/>
        <v>100</v>
      </c>
      <c r="T14" s="664" t="s">
        <v>14</v>
      </c>
      <c r="U14" s="665">
        <f t="shared" si="1"/>
        <v>100</v>
      </c>
      <c r="V14" s="664" t="s">
        <v>14</v>
      </c>
      <c r="W14" s="665">
        <f t="shared" si="2"/>
        <v>100</v>
      </c>
      <c r="X14" s="666"/>
      <c r="Y14" s="3340"/>
      <c r="Z14" s="50">
        <f t="shared" si="7"/>
        <v>111</v>
      </c>
      <c r="AA14" s="50">
        <f t="shared" si="3"/>
        <v>1</v>
      </c>
      <c r="AB14" s="50">
        <f t="shared" si="4"/>
        <v>1</v>
      </c>
      <c r="AC14" s="50">
        <f t="shared" si="5"/>
        <v>1</v>
      </c>
    </row>
    <row r="15" spans="1:29" ht="85.5">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37" t="s">
        <v>1691</v>
      </c>
      <c r="Q15" s="1263" t="str">
        <f t="shared" si="6"/>
        <v>居住社区成熟度</v>
      </c>
      <c r="R15" s="667" t="s">
        <v>14</v>
      </c>
      <c r="S15" s="668">
        <f t="shared" si="0"/>
        <v>100</v>
      </c>
      <c r="T15" s="667" t="s">
        <v>14</v>
      </c>
      <c r="U15" s="668">
        <f t="shared" si="1"/>
        <v>100</v>
      </c>
      <c r="V15" s="667" t="s">
        <v>14</v>
      </c>
      <c r="W15" s="668">
        <f t="shared" si="2"/>
        <v>100</v>
      </c>
      <c r="X15" s="1265"/>
      <c r="Y15" s="3430" t="s">
        <v>1691</v>
      </c>
      <c r="Z15" s="1264" t="str">
        <f t="shared" si="7"/>
        <v>居住社区成熟度</v>
      </c>
      <c r="AA15" s="1264">
        <f t="shared" si="3"/>
        <v>1</v>
      </c>
      <c r="AB15" s="1264">
        <f t="shared" si="4"/>
        <v>1</v>
      </c>
      <c r="AC15" s="1264">
        <f t="shared" si="5"/>
        <v>1</v>
      </c>
    </row>
    <row r="16" spans="1:29" ht="15">
      <c r="A16" s="367"/>
      <c r="B16" s="385"/>
      <c r="C16" s="386" t="s">
        <v>3503</v>
      </c>
      <c r="D16" s="387"/>
      <c r="E16" s="386" t="s">
        <v>3503</v>
      </c>
      <c r="F16" s="387"/>
      <c r="G16" s="386" t="s">
        <v>3503</v>
      </c>
      <c r="H16" s="389"/>
      <c r="I16" s="386" t="s">
        <v>3503</v>
      </c>
      <c r="J16" s="387"/>
      <c r="K16" s="1753"/>
      <c r="L16" s="2491"/>
      <c r="M16" s="2486"/>
      <c r="N16" s="2486"/>
      <c r="O16" s="2486"/>
      <c r="P16" s="3438"/>
      <c r="Q16" s="1263"/>
      <c r="R16" s="667"/>
      <c r="S16" s="668"/>
      <c r="T16" s="667"/>
      <c r="U16" s="668"/>
      <c r="V16" s="667"/>
      <c r="W16" s="668"/>
      <c r="X16" s="1265"/>
      <c r="Y16" s="3431"/>
      <c r="Z16" s="1264"/>
      <c r="AA16" s="1264">
        <v>1</v>
      </c>
      <c r="AB16" s="1264">
        <v>1</v>
      </c>
      <c r="AC16" s="1264">
        <v>1</v>
      </c>
    </row>
    <row r="17" spans="1:29" ht="71.25">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38"/>
      <c r="Q17" s="1263" t="str">
        <f>B17</f>
        <v>交通便捷度</v>
      </c>
      <c r="R17" s="667" t="s">
        <v>14</v>
      </c>
      <c r="S17" s="668">
        <f>F17</f>
        <v>100</v>
      </c>
      <c r="T17" s="667" t="s">
        <v>14</v>
      </c>
      <c r="U17" s="668">
        <f>H17</f>
        <v>100</v>
      </c>
      <c r="V17" s="667" t="s">
        <v>14</v>
      </c>
      <c r="W17" s="668">
        <f>J17</f>
        <v>100</v>
      </c>
      <c r="X17" s="1265"/>
      <c r="Y17" s="3431"/>
      <c r="Z17" s="1264" t="str">
        <f>Q17</f>
        <v>交通便捷度</v>
      </c>
      <c r="AA17" s="1264">
        <f t="shared" si="3"/>
        <v>1</v>
      </c>
      <c r="AB17" s="1264">
        <f t="shared" si="4"/>
        <v>1</v>
      </c>
      <c r="AC17" s="1264">
        <f t="shared" si="5"/>
        <v>1</v>
      </c>
    </row>
    <row r="18" spans="1:29" ht="15">
      <c r="A18" s="367"/>
      <c r="B18" s="395"/>
      <c r="C18" s="1755" t="s">
        <v>3503</v>
      </c>
      <c r="D18" s="389"/>
      <c r="E18" s="386" t="s">
        <v>3503</v>
      </c>
      <c r="F18" s="389"/>
      <c r="G18" s="386" t="s">
        <v>3503</v>
      </c>
      <c r="H18" s="387"/>
      <c r="I18" s="386" t="s">
        <v>3503</v>
      </c>
      <c r="J18" s="387"/>
      <c r="K18" s="1753"/>
      <c r="L18" s="2491"/>
      <c r="M18" s="2486"/>
      <c r="N18" s="2486"/>
      <c r="O18" s="2486"/>
      <c r="P18" s="3438"/>
      <c r="Q18" s="1263"/>
      <c r="R18" s="667"/>
      <c r="S18" s="668"/>
      <c r="T18" s="667"/>
      <c r="U18" s="668"/>
      <c r="V18" s="667"/>
      <c r="W18" s="668"/>
      <c r="X18" s="1265"/>
      <c r="Y18" s="3431"/>
      <c r="Z18" s="1264"/>
      <c r="AA18" s="1264">
        <v>1</v>
      </c>
      <c r="AB18" s="1264">
        <v>1</v>
      </c>
      <c r="AC18" s="1264">
        <v>1</v>
      </c>
    </row>
    <row r="19" spans="1:29" ht="42.75">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38"/>
      <c r="Q19" s="1263" t="str">
        <f>B19</f>
        <v>公共配套设施</v>
      </c>
      <c r="R19" s="667" t="s">
        <v>14</v>
      </c>
      <c r="S19" s="668">
        <f>F19</f>
        <v>100</v>
      </c>
      <c r="T19" s="667" t="s">
        <v>14</v>
      </c>
      <c r="U19" s="668">
        <f>H19</f>
        <v>100</v>
      </c>
      <c r="V19" s="667" t="s">
        <v>14</v>
      </c>
      <c r="W19" s="668">
        <f>J19</f>
        <v>100</v>
      </c>
      <c r="X19" s="1265"/>
      <c r="Y19" s="3431"/>
      <c r="Z19" s="1264" t="str">
        <f>Q19</f>
        <v>公共配套设施</v>
      </c>
      <c r="AA19" s="1264">
        <f t="shared" si="3"/>
        <v>1</v>
      </c>
      <c r="AB19" s="1264">
        <f t="shared" si="4"/>
        <v>1</v>
      </c>
      <c r="AC19" s="1264">
        <f t="shared" si="5"/>
        <v>1</v>
      </c>
    </row>
    <row r="20" spans="1:29" ht="15">
      <c r="A20" s="367"/>
      <c r="B20" s="395"/>
      <c r="C20" s="386" t="s">
        <v>3503</v>
      </c>
      <c r="D20" s="387"/>
      <c r="E20" s="386" t="s">
        <v>3503</v>
      </c>
      <c r="F20" s="387"/>
      <c r="G20" s="386" t="s">
        <v>3503</v>
      </c>
      <c r="H20" s="387"/>
      <c r="I20" s="386" t="s">
        <v>3503</v>
      </c>
      <c r="J20" s="387"/>
      <c r="K20" s="1753"/>
      <c r="L20" s="2491"/>
      <c r="M20" s="2486"/>
      <c r="N20" s="2486"/>
      <c r="O20" s="2486"/>
      <c r="P20" s="3438"/>
      <c r="Q20" s="1263"/>
      <c r="R20" s="667"/>
      <c r="S20" s="668"/>
      <c r="T20" s="667"/>
      <c r="U20" s="668"/>
      <c r="V20" s="667"/>
      <c r="W20" s="668"/>
      <c r="X20" s="1265"/>
      <c r="Y20" s="3431"/>
      <c r="Z20" s="1264"/>
      <c r="AA20" s="1264">
        <v>1</v>
      </c>
      <c r="AB20" s="1264">
        <v>1</v>
      </c>
      <c r="AC20" s="1264">
        <v>1</v>
      </c>
    </row>
    <row r="21" spans="1:29" ht="28.5">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38"/>
      <c r="Q21" s="1263" t="str">
        <f>B21</f>
        <v>基础设施水平</v>
      </c>
      <c r="R21" s="667" t="s">
        <v>14</v>
      </c>
      <c r="S21" s="668">
        <f>F21</f>
        <v>100</v>
      </c>
      <c r="T21" s="667" t="s">
        <v>14</v>
      </c>
      <c r="U21" s="668">
        <f>H21</f>
        <v>100</v>
      </c>
      <c r="V21" s="667" t="s">
        <v>14</v>
      </c>
      <c r="W21" s="668">
        <f>J21</f>
        <v>100</v>
      </c>
      <c r="X21" s="1265"/>
      <c r="Y21" s="3431"/>
      <c r="Z21" s="1264" t="str">
        <f>Q21</f>
        <v>基础设施水平</v>
      </c>
      <c r="AA21" s="1264">
        <f t="shared" ref="AA21" si="8">D21/F21</f>
        <v>1</v>
      </c>
      <c r="AB21" s="1264">
        <f t="shared" ref="AB21" si="9">D21/H21</f>
        <v>1</v>
      </c>
      <c r="AC21" s="1264">
        <f t="shared" ref="AC21" si="10">D21/J21</f>
        <v>1</v>
      </c>
    </row>
    <row r="22" spans="1:29" ht="15">
      <c r="A22" s="367"/>
      <c r="B22" s="586"/>
      <c r="C22" s="1755" t="s">
        <v>3509</v>
      </c>
      <c r="D22" s="387"/>
      <c r="E22" s="1755" t="s">
        <v>3509</v>
      </c>
      <c r="F22" s="387"/>
      <c r="G22" s="1755" t="s">
        <v>3509</v>
      </c>
      <c r="H22" s="387"/>
      <c r="I22" s="1755" t="s">
        <v>3509</v>
      </c>
      <c r="J22" s="387"/>
      <c r="K22" s="1759"/>
      <c r="L22" s="2491"/>
      <c r="M22" s="2486"/>
      <c r="N22" s="2486"/>
      <c r="O22" s="2486"/>
      <c r="P22" s="3438"/>
      <c r="Q22" s="1263"/>
      <c r="R22" s="667"/>
      <c r="S22" s="668"/>
      <c r="T22" s="667"/>
      <c r="U22" s="668"/>
      <c r="V22" s="667"/>
      <c r="W22" s="668"/>
      <c r="X22" s="1265"/>
      <c r="Y22" s="3431"/>
      <c r="Z22" s="1264"/>
      <c r="AA22" s="1264">
        <v>1</v>
      </c>
      <c r="AB22" s="1264">
        <v>1</v>
      </c>
      <c r="AC22" s="1264">
        <v>1</v>
      </c>
    </row>
    <row r="23" spans="1:29" ht="42.75">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38"/>
      <c r="Q23" s="1263" t="str">
        <f>B23</f>
        <v>自然及人文环境</v>
      </c>
      <c r="R23" s="667" t="s">
        <v>14</v>
      </c>
      <c r="S23" s="668">
        <f>F23</f>
        <v>100</v>
      </c>
      <c r="T23" s="667" t="s">
        <v>14</v>
      </c>
      <c r="U23" s="668">
        <f>H23</f>
        <v>100</v>
      </c>
      <c r="V23" s="667" t="s">
        <v>14</v>
      </c>
      <c r="W23" s="668">
        <f>J23</f>
        <v>100</v>
      </c>
      <c r="X23" s="1265"/>
      <c r="Y23" s="3431"/>
      <c r="Z23" s="1264" t="str">
        <f>Q23</f>
        <v>自然及人文环境</v>
      </c>
      <c r="AA23" s="1264">
        <f>D23/F23</f>
        <v>1</v>
      </c>
      <c r="AB23" s="1264">
        <f>D23/H23</f>
        <v>1</v>
      </c>
      <c r="AC23" s="1264">
        <f>D23/J23</f>
        <v>1</v>
      </c>
    </row>
    <row r="24" spans="1:29" ht="15">
      <c r="A24" s="367"/>
      <c r="B24" s="395"/>
      <c r="C24" s="386" t="s">
        <v>3503</v>
      </c>
      <c r="D24" s="387"/>
      <c r="E24" s="386" t="s">
        <v>3503</v>
      </c>
      <c r="F24" s="387"/>
      <c r="G24" s="386" t="s">
        <v>3503</v>
      </c>
      <c r="H24" s="387"/>
      <c r="I24" s="386" t="s">
        <v>3503</v>
      </c>
      <c r="J24" s="387"/>
      <c r="K24" s="1753"/>
      <c r="L24" s="2491"/>
      <c r="M24" s="2486"/>
      <c r="N24" s="2486"/>
      <c r="O24" s="2486"/>
      <c r="P24" s="3438"/>
      <c r="Q24" s="1263"/>
      <c r="R24" s="667"/>
      <c r="S24" s="668"/>
      <c r="T24" s="667"/>
      <c r="U24" s="668"/>
      <c r="V24" s="667"/>
      <c r="W24" s="668"/>
      <c r="X24" s="1265"/>
      <c r="Y24" s="3431"/>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38"/>
      <c r="Q25" s="1263" t="str">
        <f t="shared" ref="Q25:Q46" si="11">B25</f>
        <v>楼层-1</v>
      </c>
      <c r="R25" s="667" t="s">
        <v>14</v>
      </c>
      <c r="S25" s="668">
        <f t="shared" ref="S25:S46" si="12">F25</f>
        <v>100</v>
      </c>
      <c r="T25" s="667" t="s">
        <v>14</v>
      </c>
      <c r="U25" s="668">
        <f t="shared" ref="U25:U46" si="13">H25</f>
        <v>100</v>
      </c>
      <c r="V25" s="667" t="s">
        <v>14</v>
      </c>
      <c r="W25" s="668">
        <f t="shared" ref="W25:W46" si="14">J25</f>
        <v>100</v>
      </c>
      <c r="X25" s="1265"/>
      <c r="Y25" s="3431"/>
      <c r="Z25" s="1264" t="str">
        <f>Q25</f>
        <v>楼层-1</v>
      </c>
      <c r="AA25" s="1264">
        <f t="shared" ref="AA25:AA46" si="15">D25/F25</f>
        <v>1</v>
      </c>
      <c r="AB25" s="1264">
        <f t="shared" ref="AB25:AB46" si="16">D25/H25</f>
        <v>1</v>
      </c>
      <c r="AC25" s="1264">
        <f t="shared" ref="AC25:AC46" si="17">D25/J25</f>
        <v>1</v>
      </c>
    </row>
    <row r="26" spans="1:29" ht="15">
      <c r="A26" s="367"/>
      <c r="B26" s="364" t="s">
        <v>1693</v>
      </c>
      <c r="C26" s="399" t="s">
        <v>3428</v>
      </c>
      <c r="D26" s="374">
        <v>100</v>
      </c>
      <c r="E26" s="1760" t="s">
        <v>3417</v>
      </c>
      <c r="F26" s="374">
        <f>SUMIF(88:88,E26,89:89)-SUMIF(88:88,C26,89:89)+100</f>
        <v>99</v>
      </c>
      <c r="G26" s="399" t="s">
        <v>3428</v>
      </c>
      <c r="H26" s="374">
        <f>SUMIF(88:88,G26,89:89)-SUMIF(88:88,C26,89:89)+100</f>
        <v>100</v>
      </c>
      <c r="I26" s="399" t="s">
        <v>3428</v>
      </c>
      <c r="J26" s="374">
        <f>SUMIF(88:88,I26,89:89)-SUMIF(88:88,C26,89:89)+100</f>
        <v>100</v>
      </c>
      <c r="K26" s="365">
        <v>1</v>
      </c>
      <c r="L26" s="2491"/>
      <c r="M26" s="2486"/>
      <c r="N26" s="2486"/>
      <c r="O26" s="2486"/>
      <c r="P26" s="3438"/>
      <c r="Q26" s="1263" t="str">
        <f t="shared" si="11"/>
        <v>朝向</v>
      </c>
      <c r="R26" s="667" t="s">
        <v>14</v>
      </c>
      <c r="S26" s="668">
        <f t="shared" si="12"/>
        <v>99</v>
      </c>
      <c r="T26" s="667" t="s">
        <v>14</v>
      </c>
      <c r="U26" s="668">
        <f t="shared" si="13"/>
        <v>100</v>
      </c>
      <c r="V26" s="667" t="s">
        <v>14</v>
      </c>
      <c r="W26" s="668">
        <f t="shared" si="14"/>
        <v>100</v>
      </c>
      <c r="X26" s="1265"/>
      <c r="Y26" s="3431"/>
      <c r="Z26" s="1264" t="str">
        <f>Q26</f>
        <v>朝向</v>
      </c>
      <c r="AA26" s="1264">
        <f t="shared" si="15"/>
        <v>1.0101010101010102</v>
      </c>
      <c r="AB26" s="1264">
        <f t="shared" si="16"/>
        <v>1</v>
      </c>
      <c r="AC26" s="1264">
        <f t="shared" si="17"/>
        <v>1</v>
      </c>
    </row>
    <row r="27" spans="1:29" s="102" customFormat="1" ht="15">
      <c r="A27" s="370"/>
      <c r="B27" s="3175" t="s">
        <v>3490</v>
      </c>
      <c r="C27" s="3177" t="s">
        <v>3492</v>
      </c>
      <c r="D27" s="401">
        <v>100</v>
      </c>
      <c r="E27" s="3178" t="s">
        <v>3494</v>
      </c>
      <c r="F27" s="401">
        <f>SUMIF(90:90,E27,91:91)-SUMIF(90:90,C27,91:91)+100</f>
        <v>101</v>
      </c>
      <c r="G27" s="3179" t="s">
        <v>3495</v>
      </c>
      <c r="H27" s="401">
        <f>SUMIF(90:90,G27,91:91)-SUMIF(90:90,C27,91:91)+100</f>
        <v>100.5</v>
      </c>
      <c r="I27" s="3179" t="s">
        <v>3493</v>
      </c>
      <c r="J27" s="401">
        <f>SUMIF(90:90,I27,91:91)-SUMIF(90:90,C27,91:91)+100</f>
        <v>101.5</v>
      </c>
      <c r="K27" s="1748"/>
      <c r="L27" s="2487"/>
      <c r="M27" s="2438"/>
      <c r="N27" s="2438"/>
      <c r="O27" s="2438"/>
      <c r="P27" s="3438"/>
      <c r="Q27" s="530" t="str">
        <f t="shared" si="11"/>
        <v>楼层</v>
      </c>
      <c r="R27" s="664" t="s">
        <v>14</v>
      </c>
      <c r="S27" s="665">
        <f t="shared" si="12"/>
        <v>101</v>
      </c>
      <c r="T27" s="664" t="s">
        <v>14</v>
      </c>
      <c r="U27" s="665">
        <f t="shared" si="13"/>
        <v>100.5</v>
      </c>
      <c r="V27" s="664" t="s">
        <v>14</v>
      </c>
      <c r="W27" s="665">
        <f t="shared" si="14"/>
        <v>101.5</v>
      </c>
      <c r="X27" s="666"/>
      <c r="Y27" s="3431"/>
      <c r="Z27" s="50" t="str">
        <f>Q27</f>
        <v>楼层</v>
      </c>
      <c r="AA27" s="1264">
        <f t="shared" si="15"/>
        <v>0.99009900990099009</v>
      </c>
      <c r="AB27" s="1264">
        <f t="shared" si="16"/>
        <v>0.99502487562189057</v>
      </c>
      <c r="AC27" s="1264">
        <f t="shared" si="17"/>
        <v>0.98522167487684731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38"/>
      <c r="Q28" s="1263">
        <f t="shared" si="11"/>
        <v>111</v>
      </c>
      <c r="R28" s="667" t="s">
        <v>14</v>
      </c>
      <c r="S28" s="668">
        <f t="shared" si="12"/>
        <v>100</v>
      </c>
      <c r="T28" s="667" t="s">
        <v>14</v>
      </c>
      <c r="U28" s="668">
        <f t="shared" si="13"/>
        <v>100</v>
      </c>
      <c r="V28" s="667" t="s">
        <v>14</v>
      </c>
      <c r="W28" s="668">
        <f t="shared" si="14"/>
        <v>100</v>
      </c>
      <c r="X28" s="1265"/>
      <c r="Y28" s="3431"/>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38"/>
      <c r="Q29" s="1263">
        <f t="shared" si="11"/>
        <v>111</v>
      </c>
      <c r="R29" s="667" t="s">
        <v>14</v>
      </c>
      <c r="S29" s="668">
        <f t="shared" si="12"/>
        <v>100</v>
      </c>
      <c r="T29" s="667" t="s">
        <v>14</v>
      </c>
      <c r="U29" s="668">
        <f t="shared" si="13"/>
        <v>100</v>
      </c>
      <c r="V29" s="667" t="s">
        <v>14</v>
      </c>
      <c r="W29" s="668">
        <f t="shared" si="14"/>
        <v>100</v>
      </c>
      <c r="X29" s="1265"/>
      <c r="Y29" s="3431"/>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38"/>
      <c r="Q30" s="1263">
        <f t="shared" si="11"/>
        <v>111</v>
      </c>
      <c r="R30" s="667" t="s">
        <v>14</v>
      </c>
      <c r="S30" s="668">
        <f t="shared" si="12"/>
        <v>100</v>
      </c>
      <c r="T30" s="667" t="s">
        <v>14</v>
      </c>
      <c r="U30" s="668">
        <f t="shared" si="13"/>
        <v>100</v>
      </c>
      <c r="V30" s="667" t="s">
        <v>14</v>
      </c>
      <c r="W30" s="668">
        <f t="shared" si="14"/>
        <v>100</v>
      </c>
      <c r="X30" s="1265"/>
      <c r="Y30" s="3431"/>
      <c r="Z30" s="1264">
        <f t="shared" si="18"/>
        <v>111</v>
      </c>
      <c r="AA30" s="1264">
        <f t="shared" si="15"/>
        <v>1</v>
      </c>
      <c r="AB30" s="1264">
        <f t="shared" si="16"/>
        <v>1</v>
      </c>
      <c r="AC30" s="1264">
        <f t="shared" si="17"/>
        <v>1</v>
      </c>
    </row>
    <row r="31" spans="1:29" ht="15.75"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38"/>
      <c r="Q31" s="1263">
        <f t="shared" si="11"/>
        <v>111</v>
      </c>
      <c r="R31" s="667" t="s">
        <v>14</v>
      </c>
      <c r="S31" s="668">
        <f t="shared" si="12"/>
        <v>100</v>
      </c>
      <c r="T31" s="667" t="s">
        <v>14</v>
      </c>
      <c r="U31" s="668">
        <f t="shared" si="13"/>
        <v>100</v>
      </c>
      <c r="V31" s="667" t="s">
        <v>14</v>
      </c>
      <c r="W31" s="668">
        <f t="shared" si="14"/>
        <v>100</v>
      </c>
      <c r="X31" s="1265"/>
      <c r="Y31" s="3431"/>
      <c r="Z31" s="1264">
        <f t="shared" si="18"/>
        <v>111</v>
      </c>
      <c r="AA31" s="1264">
        <f t="shared" si="15"/>
        <v>1</v>
      </c>
      <c r="AB31" s="1264">
        <f t="shared" si="16"/>
        <v>1</v>
      </c>
      <c r="AC31" s="1264">
        <f t="shared" si="17"/>
        <v>1</v>
      </c>
    </row>
    <row r="32" spans="1:29" ht="15">
      <c r="A32" s="379" t="s">
        <v>1694</v>
      </c>
      <c r="B32" s="60" t="s">
        <v>1695</v>
      </c>
      <c r="C32" s="1764" t="s">
        <v>3479</v>
      </c>
      <c r="D32" s="405">
        <v>100</v>
      </c>
      <c r="E32" s="1764" t="s">
        <v>3479</v>
      </c>
      <c r="F32" s="400">
        <f>SUMIF(100:100,E32,101:101)-SUMIF(100:100,C32,101:101)+100</f>
        <v>100</v>
      </c>
      <c r="G32" s="1764" t="s">
        <v>3479</v>
      </c>
      <c r="H32" s="405">
        <f>SUMIF(100:100,G32,101:101)-SUMIF(100:100,C32,101:101)+100</f>
        <v>100</v>
      </c>
      <c r="I32" s="1764" t="s">
        <v>3479</v>
      </c>
      <c r="J32" s="374">
        <f>SUMIF(100:100,I32,101:101)-SUMIF(100:100,C32,101:101)+100</f>
        <v>100</v>
      </c>
      <c r="K32" s="365"/>
      <c r="L32" s="2491"/>
      <c r="M32" s="2486"/>
      <c r="N32" s="2486"/>
      <c r="O32" s="2486"/>
      <c r="P32" s="3432" t="s">
        <v>1696</v>
      </c>
      <c r="Q32" s="1263" t="str">
        <f t="shared" si="11"/>
        <v>建筑类型</v>
      </c>
      <c r="R32" s="667" t="s">
        <v>14</v>
      </c>
      <c r="S32" s="668">
        <f t="shared" si="12"/>
        <v>100</v>
      </c>
      <c r="T32" s="667" t="s">
        <v>14</v>
      </c>
      <c r="U32" s="668">
        <f t="shared" si="13"/>
        <v>100</v>
      </c>
      <c r="V32" s="667" t="s">
        <v>14</v>
      </c>
      <c r="W32" s="668">
        <f t="shared" si="14"/>
        <v>100</v>
      </c>
      <c r="X32" s="1265"/>
      <c r="Y32" s="3435" t="s">
        <v>1696</v>
      </c>
      <c r="Z32" s="1264" t="str">
        <f t="shared" si="18"/>
        <v>建筑类型</v>
      </c>
      <c r="AA32" s="1264">
        <f t="shared" si="15"/>
        <v>1</v>
      </c>
      <c r="AB32" s="1264">
        <f t="shared" si="16"/>
        <v>1</v>
      </c>
      <c r="AC32" s="1264">
        <f t="shared" si="17"/>
        <v>1</v>
      </c>
    </row>
    <row r="33" spans="1:29" s="408" customFormat="1" ht="15">
      <c r="A33" s="406"/>
      <c r="B33" s="364" t="s">
        <v>1697</v>
      </c>
      <c r="C33" s="407">
        <f>'数据-汇总表'!F19</f>
        <v>32.74</v>
      </c>
      <c r="D33" s="119">
        <v>100</v>
      </c>
      <c r="E33" s="369">
        <f>案例!C15</f>
        <v>33.700000000000003</v>
      </c>
      <c r="F33" s="364">
        <f>LOOKUP(E33,103:103,104:104)-LOOKUP(C33,103:103,104:104)+100</f>
        <v>100</v>
      </c>
      <c r="G33" s="368">
        <f>案例!C16</f>
        <v>30.86</v>
      </c>
      <c r="H33" s="119">
        <f>LOOKUP(G33,103:103,104:104)-LOOKUP(C33,103:103,104:104)+100</f>
        <v>100</v>
      </c>
      <c r="I33" s="369">
        <f>案例!C17</f>
        <v>33.799999999999997</v>
      </c>
      <c r="J33" s="119">
        <f>LOOKUP(I33,103:103,104:104)-LOOKUP(C33,103:103,104:104)+100</f>
        <v>100</v>
      </c>
      <c r="K33" s="1748"/>
      <c r="L33" s="2490"/>
      <c r="M33" s="2492"/>
      <c r="N33" s="2492"/>
      <c r="O33" s="2492"/>
      <c r="P33" s="3433"/>
      <c r="Q33" s="531" t="str">
        <f t="shared" si="11"/>
        <v>项目建筑规模</v>
      </c>
      <c r="R33" s="669" t="s">
        <v>14</v>
      </c>
      <c r="S33" s="670">
        <f t="shared" si="12"/>
        <v>100</v>
      </c>
      <c r="T33" s="669" t="s">
        <v>14</v>
      </c>
      <c r="U33" s="670">
        <f t="shared" si="13"/>
        <v>100</v>
      </c>
      <c r="V33" s="669" t="s">
        <v>14</v>
      </c>
      <c r="W33" s="670">
        <f t="shared" si="14"/>
        <v>100</v>
      </c>
      <c r="X33" s="671"/>
      <c r="Y33" s="3435"/>
      <c r="Z33" s="672" t="str">
        <f t="shared" si="18"/>
        <v>项目建筑规模</v>
      </c>
      <c r="AA33" s="1264">
        <f t="shared" si="15"/>
        <v>1</v>
      </c>
      <c r="AB33" s="1264">
        <f t="shared" si="16"/>
        <v>1</v>
      </c>
      <c r="AC33" s="1264">
        <f t="shared" si="17"/>
        <v>1</v>
      </c>
    </row>
    <row r="34" spans="1:29" ht="15">
      <c r="A34" s="409"/>
      <c r="B34" s="364" t="s">
        <v>1698</v>
      </c>
      <c r="C34" s="399" t="s">
        <v>3475</v>
      </c>
      <c r="D34" s="374">
        <v>100</v>
      </c>
      <c r="E34" s="399" t="s">
        <v>3475</v>
      </c>
      <c r="F34" s="400">
        <f>SUMIF(105:105,E34,106:106)-SUMIF(105:105,C34,106:106)+100</f>
        <v>100</v>
      </c>
      <c r="G34" s="399" t="s">
        <v>3475</v>
      </c>
      <c r="H34" s="374">
        <f>SUMIF(105:105,G34,106:106)-SUMIF(105:105,C34,106:106)+100</f>
        <v>100</v>
      </c>
      <c r="I34" s="399" t="s">
        <v>3475</v>
      </c>
      <c r="J34" s="374">
        <f>SUMIF(105:105,I34,106:106)-SUMIF(105:105,C34,106:106)+100</f>
        <v>100</v>
      </c>
      <c r="K34" s="365"/>
      <c r="L34" s="2491"/>
      <c r="M34" s="2486"/>
      <c r="N34" s="2486"/>
      <c r="O34" s="2486"/>
      <c r="P34" s="3433"/>
      <c r="Q34" s="1263" t="str">
        <f t="shared" si="11"/>
        <v>建筑结构</v>
      </c>
      <c r="R34" s="667" t="s">
        <v>14</v>
      </c>
      <c r="S34" s="668">
        <f t="shared" si="12"/>
        <v>100</v>
      </c>
      <c r="T34" s="667" t="s">
        <v>14</v>
      </c>
      <c r="U34" s="668">
        <f t="shared" si="13"/>
        <v>100</v>
      </c>
      <c r="V34" s="667" t="s">
        <v>14</v>
      </c>
      <c r="W34" s="668">
        <f t="shared" si="14"/>
        <v>100</v>
      </c>
      <c r="X34" s="1265"/>
      <c r="Y34" s="3435"/>
      <c r="Z34" s="1264" t="str">
        <f t="shared" si="18"/>
        <v>建筑结构</v>
      </c>
      <c r="AA34" s="1264">
        <f t="shared" si="15"/>
        <v>1</v>
      </c>
      <c r="AB34" s="1264">
        <f t="shared" si="16"/>
        <v>1</v>
      </c>
      <c r="AC34" s="1264">
        <f t="shared" si="17"/>
        <v>1</v>
      </c>
    </row>
    <row r="35" spans="1:29" ht="15">
      <c r="A35" s="409"/>
      <c r="B35" s="364" t="s">
        <v>1699</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365"/>
      <c r="L35" s="2491"/>
      <c r="M35" s="2486"/>
      <c r="N35" s="2486"/>
      <c r="O35" s="2486"/>
      <c r="P35" s="3433"/>
      <c r="Q35" s="1263" t="str">
        <f t="shared" si="11"/>
        <v>建筑品质</v>
      </c>
      <c r="R35" s="667" t="s">
        <v>14</v>
      </c>
      <c r="S35" s="668">
        <f t="shared" si="12"/>
        <v>100</v>
      </c>
      <c r="T35" s="667" t="s">
        <v>14</v>
      </c>
      <c r="U35" s="668">
        <f t="shared" si="13"/>
        <v>100</v>
      </c>
      <c r="V35" s="667" t="s">
        <v>14</v>
      </c>
      <c r="W35" s="668">
        <f t="shared" si="14"/>
        <v>100</v>
      </c>
      <c r="X35" s="1265"/>
      <c r="Y35" s="3435"/>
      <c r="Z35" s="1264" t="str">
        <f t="shared" si="18"/>
        <v>建筑品质</v>
      </c>
      <c r="AA35" s="1264">
        <f t="shared" si="15"/>
        <v>1</v>
      </c>
      <c r="AB35" s="1264">
        <f t="shared" si="16"/>
        <v>1</v>
      </c>
      <c r="AC35" s="1264">
        <f t="shared" si="17"/>
        <v>1</v>
      </c>
    </row>
    <row r="36" spans="1:29" ht="15">
      <c r="A36" s="409"/>
      <c r="B36" s="364" t="s">
        <v>1700</v>
      </c>
      <c r="C36" s="1760" t="s">
        <v>3420</v>
      </c>
      <c r="D36" s="374">
        <v>100</v>
      </c>
      <c r="E36" s="1760" t="s">
        <v>3420</v>
      </c>
      <c r="F36" s="400">
        <f>SUMIF(109:109,E36,110:110)-SUMIF(109:109,C36,110:110)+100</f>
        <v>100</v>
      </c>
      <c r="G36" s="1760" t="s">
        <v>3420</v>
      </c>
      <c r="H36" s="374">
        <f>SUMIF(109:109,G36,110:110)-SUMIF(109:109,C36,110:110)+100</f>
        <v>100</v>
      </c>
      <c r="I36" s="1760" t="s">
        <v>3420</v>
      </c>
      <c r="J36" s="374">
        <f>SUMIF(109:109,I36,110:110)-SUMIF(109:109,C36,110:110)+100</f>
        <v>100</v>
      </c>
      <c r="K36" s="365"/>
      <c r="L36" s="2491"/>
      <c r="M36" s="2486"/>
      <c r="N36" s="2486"/>
      <c r="O36" s="2486"/>
      <c r="P36" s="3433"/>
      <c r="Q36" s="1263" t="str">
        <f t="shared" si="11"/>
        <v>公共部分装修</v>
      </c>
      <c r="R36" s="667" t="s">
        <v>14</v>
      </c>
      <c r="S36" s="668">
        <f t="shared" si="12"/>
        <v>100</v>
      </c>
      <c r="T36" s="667" t="s">
        <v>14</v>
      </c>
      <c r="U36" s="668">
        <f t="shared" si="13"/>
        <v>100</v>
      </c>
      <c r="V36" s="667" t="s">
        <v>14</v>
      </c>
      <c r="W36" s="668">
        <f t="shared" si="14"/>
        <v>100</v>
      </c>
      <c r="X36" s="1265"/>
      <c r="Y36" s="3435"/>
      <c r="Z36" s="1264" t="str">
        <f t="shared" si="18"/>
        <v>公共部分装修</v>
      </c>
      <c r="AA36" s="1264">
        <f t="shared" si="15"/>
        <v>1</v>
      </c>
      <c r="AB36" s="1264">
        <f t="shared" si="16"/>
        <v>1</v>
      </c>
      <c r="AC36" s="1264">
        <f t="shared" si="17"/>
        <v>1</v>
      </c>
    </row>
    <row r="37" spans="1:29" s="102" customFormat="1" ht="15">
      <c r="A37" s="410"/>
      <c r="B37" s="364" t="s">
        <v>1701</v>
      </c>
      <c r="C37" s="411">
        <v>0.8</v>
      </c>
      <c r="D37" s="119">
        <v>100</v>
      </c>
      <c r="E37" s="411">
        <v>0.8</v>
      </c>
      <c r="F37" s="364">
        <f>LOOKUP(E37,112:112,113:113)-LOOKUP(C37,112:112,113:113)+100</f>
        <v>100</v>
      </c>
      <c r="G37" s="413">
        <v>0.8</v>
      </c>
      <c r="H37" s="119">
        <f>LOOKUP(G37,112:112,113:113)-LOOKUP(C37,112:112,113:113)+100</f>
        <v>100</v>
      </c>
      <c r="I37" s="412">
        <v>0.8</v>
      </c>
      <c r="J37" s="119">
        <f>LOOKUP(I37,112:112,113:113)-LOOKUP(C37,112:112,113:113)+100</f>
        <v>100</v>
      </c>
      <c r="K37" s="365"/>
      <c r="L37" s="2487"/>
      <c r="M37" s="2438"/>
      <c r="N37" s="2438"/>
      <c r="O37" s="2438"/>
      <c r="P37" s="3433"/>
      <c r="Q37" s="530" t="str">
        <f t="shared" si="11"/>
        <v>成新度</v>
      </c>
      <c r="R37" s="664" t="s">
        <v>14</v>
      </c>
      <c r="S37" s="665">
        <f t="shared" si="12"/>
        <v>100</v>
      </c>
      <c r="T37" s="664" t="s">
        <v>14</v>
      </c>
      <c r="U37" s="665">
        <f t="shared" si="13"/>
        <v>100</v>
      </c>
      <c r="V37" s="664" t="s">
        <v>14</v>
      </c>
      <c r="W37" s="665">
        <f t="shared" si="14"/>
        <v>100</v>
      </c>
      <c r="X37" s="666"/>
      <c r="Y37" s="3435"/>
      <c r="Z37" s="50" t="str">
        <f t="shared" si="18"/>
        <v>成新度</v>
      </c>
      <c r="AA37" s="50">
        <f t="shared" si="15"/>
        <v>1</v>
      </c>
      <c r="AB37" s="50">
        <f t="shared" si="16"/>
        <v>1</v>
      </c>
      <c r="AC37" s="50">
        <f t="shared" si="17"/>
        <v>1</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33" t="s">
        <v>1696</v>
      </c>
      <c r="Q38" s="1263" t="str">
        <f t="shared" si="11"/>
        <v>物业管理</v>
      </c>
      <c r="R38" s="667" t="s">
        <v>14</v>
      </c>
      <c r="S38" s="668">
        <f t="shared" si="12"/>
        <v>100</v>
      </c>
      <c r="T38" s="667" t="s">
        <v>14</v>
      </c>
      <c r="U38" s="668">
        <f t="shared" si="13"/>
        <v>100</v>
      </c>
      <c r="V38" s="667" t="s">
        <v>14</v>
      </c>
      <c r="W38" s="668">
        <f t="shared" si="14"/>
        <v>100</v>
      </c>
      <c r="X38" s="1265"/>
      <c r="Y38" s="3435"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33"/>
      <c r="Q39" s="1263" t="str">
        <f t="shared" si="11"/>
        <v>市政基础设施</v>
      </c>
      <c r="R39" s="667" t="s">
        <v>14</v>
      </c>
      <c r="S39" s="668">
        <f t="shared" si="12"/>
        <v>100</v>
      </c>
      <c r="T39" s="667" t="s">
        <v>14</v>
      </c>
      <c r="U39" s="668">
        <f t="shared" si="13"/>
        <v>100</v>
      </c>
      <c r="V39" s="667" t="s">
        <v>14</v>
      </c>
      <c r="W39" s="668">
        <f t="shared" si="14"/>
        <v>100</v>
      </c>
      <c r="X39" s="1265"/>
      <c r="Y39" s="3435"/>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33"/>
      <c r="Q40" s="1263" t="str">
        <f t="shared" si="11"/>
        <v>房型</v>
      </c>
      <c r="R40" s="667" t="s">
        <v>14</v>
      </c>
      <c r="S40" s="668">
        <f t="shared" si="12"/>
        <v>100</v>
      </c>
      <c r="T40" s="667" t="s">
        <v>14</v>
      </c>
      <c r="U40" s="668">
        <f t="shared" si="13"/>
        <v>100</v>
      </c>
      <c r="V40" s="667" t="s">
        <v>14</v>
      </c>
      <c r="W40" s="668">
        <f t="shared" si="14"/>
        <v>100</v>
      </c>
      <c r="X40" s="1265"/>
      <c r="Y40" s="3435"/>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33"/>
      <c r="Q41" s="531" t="str">
        <f t="shared" si="11"/>
        <v>单套/主力户型建筑面积</v>
      </c>
      <c r="R41" s="669" t="s">
        <v>14</v>
      </c>
      <c r="S41" s="670">
        <f t="shared" si="12"/>
        <v>100</v>
      </c>
      <c r="T41" s="669" t="s">
        <v>14</v>
      </c>
      <c r="U41" s="670">
        <f t="shared" si="13"/>
        <v>100</v>
      </c>
      <c r="V41" s="669" t="s">
        <v>14</v>
      </c>
      <c r="W41" s="670">
        <f t="shared" si="14"/>
        <v>100</v>
      </c>
      <c r="X41" s="671"/>
      <c r="Y41" s="3435"/>
      <c r="Z41" s="672" t="str">
        <f t="shared" si="18"/>
        <v>单套/主力户型建筑面积</v>
      </c>
      <c r="AA41" s="1264">
        <f t="shared" si="15"/>
        <v>1</v>
      </c>
      <c r="AB41" s="1264">
        <f t="shared" si="16"/>
        <v>1</v>
      </c>
      <c r="AC41" s="1264">
        <f t="shared" si="17"/>
        <v>1</v>
      </c>
    </row>
    <row r="42" spans="1:29" ht="15">
      <c r="A42" s="409"/>
      <c r="B42" s="364" t="s">
        <v>1706</v>
      </c>
      <c r="C42" s="1760" t="s">
        <v>3420</v>
      </c>
      <c r="D42" s="374">
        <v>100</v>
      </c>
      <c r="E42" s="1761" t="s">
        <v>3420</v>
      </c>
      <c r="F42" s="400">
        <f>SUMIF(122:122,E42,123:123)-SUMIF(122:122,C42,123:123)+100</f>
        <v>100</v>
      </c>
      <c r="G42" s="1760" t="s">
        <v>3420</v>
      </c>
      <c r="H42" s="374">
        <f>SUMIF(122:122,G42,123:123)-SUMIF(122:122,C42,123:123)+100</f>
        <v>100</v>
      </c>
      <c r="I42" s="1761" t="s">
        <v>3420</v>
      </c>
      <c r="J42" s="374">
        <f>SUMIF(122:122,I42,123:123)-SUMIF(122:122,C42,123:123)+100</f>
        <v>100</v>
      </c>
      <c r="K42" s="365">
        <v>1</v>
      </c>
      <c r="L42" s="2491"/>
      <c r="M42" s="2486"/>
      <c r="N42" s="2486"/>
      <c r="O42" s="2486"/>
      <c r="P42" s="3433"/>
      <c r="Q42" s="1263" t="str">
        <f t="shared" si="11"/>
        <v>内部装修</v>
      </c>
      <c r="R42" s="667" t="s">
        <v>14</v>
      </c>
      <c r="S42" s="668">
        <f t="shared" si="12"/>
        <v>100</v>
      </c>
      <c r="T42" s="667" t="s">
        <v>14</v>
      </c>
      <c r="U42" s="668">
        <f t="shared" si="13"/>
        <v>100</v>
      </c>
      <c r="V42" s="667" t="s">
        <v>14</v>
      </c>
      <c r="W42" s="668">
        <f t="shared" si="14"/>
        <v>100</v>
      </c>
      <c r="X42" s="1265"/>
      <c r="Y42" s="3435"/>
      <c r="Z42" s="1264" t="str">
        <f t="shared" si="18"/>
        <v>内部装修</v>
      </c>
      <c r="AA42" s="1264">
        <f t="shared" si="15"/>
        <v>1</v>
      </c>
      <c r="AB42" s="1264">
        <f t="shared" si="16"/>
        <v>1</v>
      </c>
      <c r="AC42" s="1264">
        <f t="shared" si="17"/>
        <v>1</v>
      </c>
    </row>
    <row r="43" spans="1:29" ht="15">
      <c r="A43" s="409"/>
      <c r="B43" s="364" t="s">
        <v>1707</v>
      </c>
      <c r="C43" s="1760" t="s">
        <v>3503</v>
      </c>
      <c r="D43" s="374">
        <v>100</v>
      </c>
      <c r="E43" s="1760" t="s">
        <v>3503</v>
      </c>
      <c r="F43" s="400">
        <f>SUMIF(124:124,E43,125:125)-SUMIF(124:124,C43,125:125)+100</f>
        <v>100</v>
      </c>
      <c r="G43" s="1760" t="s">
        <v>3503</v>
      </c>
      <c r="H43" s="374">
        <f>SUMIF(124:124,G43,125:125)-SUMIF(124:124,C43,125:125)+100</f>
        <v>100</v>
      </c>
      <c r="I43" s="1760" t="s">
        <v>3503</v>
      </c>
      <c r="J43" s="374">
        <f>SUMIF(124:124,I43,125:125)-SUMIF(124:124,C43,125:125)+100</f>
        <v>100</v>
      </c>
      <c r="K43" s="365"/>
      <c r="L43" s="2491"/>
      <c r="M43" s="2486"/>
      <c r="N43" s="2486"/>
      <c r="O43" s="2486"/>
      <c r="P43" s="3433"/>
      <c r="Q43" s="1263" t="str">
        <f t="shared" si="11"/>
        <v>内部装修维护情况</v>
      </c>
      <c r="R43" s="667" t="s">
        <v>14</v>
      </c>
      <c r="S43" s="668">
        <f t="shared" si="12"/>
        <v>100</v>
      </c>
      <c r="T43" s="667" t="s">
        <v>14</v>
      </c>
      <c r="U43" s="668">
        <f t="shared" si="13"/>
        <v>100</v>
      </c>
      <c r="V43" s="667" t="s">
        <v>14</v>
      </c>
      <c r="W43" s="668">
        <f t="shared" si="14"/>
        <v>100</v>
      </c>
      <c r="X43" s="1265"/>
      <c r="Y43" s="3435"/>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8"/>
      <c r="N44" s="2438"/>
      <c r="O44" s="2438"/>
      <c r="P44" s="3433"/>
      <c r="Q44" s="530">
        <f t="shared" si="11"/>
        <v>111</v>
      </c>
      <c r="R44" s="664" t="s">
        <v>14</v>
      </c>
      <c r="S44" s="665">
        <f t="shared" si="12"/>
        <v>100</v>
      </c>
      <c r="T44" s="664" t="s">
        <v>14</v>
      </c>
      <c r="U44" s="665">
        <f t="shared" si="13"/>
        <v>100</v>
      </c>
      <c r="V44" s="664" t="s">
        <v>14</v>
      </c>
      <c r="W44" s="665">
        <f t="shared" si="14"/>
        <v>100</v>
      </c>
      <c r="X44" s="666"/>
      <c r="Y44" s="3435"/>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33"/>
      <c r="Q45" s="1263">
        <f t="shared" si="11"/>
        <v>111</v>
      </c>
      <c r="R45" s="667" t="s">
        <v>14</v>
      </c>
      <c r="S45" s="668">
        <f t="shared" si="12"/>
        <v>100</v>
      </c>
      <c r="T45" s="667" t="s">
        <v>14</v>
      </c>
      <c r="U45" s="668">
        <f t="shared" si="13"/>
        <v>100</v>
      </c>
      <c r="V45" s="667" t="s">
        <v>14</v>
      </c>
      <c r="W45" s="668">
        <f t="shared" si="14"/>
        <v>100</v>
      </c>
      <c r="X45" s="1265"/>
      <c r="Y45" s="3435"/>
      <c r="Z45" s="1264">
        <f t="shared" si="18"/>
        <v>111</v>
      </c>
      <c r="AA45" s="1264">
        <f t="shared" si="15"/>
        <v>1</v>
      </c>
      <c r="AB45" s="1264">
        <f t="shared" si="16"/>
        <v>1</v>
      </c>
      <c r="AC45" s="1264">
        <f t="shared" si="17"/>
        <v>1</v>
      </c>
    </row>
    <row r="46" spans="1:29" ht="15.75"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34"/>
      <c r="Q46" s="1263">
        <f t="shared" si="11"/>
        <v>111</v>
      </c>
      <c r="R46" s="667" t="s">
        <v>14</v>
      </c>
      <c r="S46" s="668">
        <f t="shared" si="12"/>
        <v>100</v>
      </c>
      <c r="T46" s="667" t="s">
        <v>14</v>
      </c>
      <c r="U46" s="668">
        <f t="shared" si="13"/>
        <v>100</v>
      </c>
      <c r="V46" s="667" t="s">
        <v>14</v>
      </c>
      <c r="W46" s="668">
        <f t="shared" si="14"/>
        <v>100</v>
      </c>
      <c r="X46" s="1265"/>
      <c r="Y46" s="3436"/>
      <c r="Z46" s="1264">
        <f t="shared" si="18"/>
        <v>111</v>
      </c>
      <c r="AA46" s="1264">
        <f t="shared" si="15"/>
        <v>1</v>
      </c>
      <c r="AB46" s="1264">
        <f t="shared" si="16"/>
        <v>1</v>
      </c>
      <c r="AC46" s="1264">
        <f t="shared" si="17"/>
        <v>1</v>
      </c>
    </row>
    <row r="47" spans="1:29" ht="15">
      <c r="A47" s="416" t="s">
        <v>1708</v>
      </c>
      <c r="B47" s="417"/>
      <c r="C47" s="1081" t="s">
        <v>0</v>
      </c>
      <c r="D47" s="418"/>
      <c r="E47" s="419">
        <f>案例!F15</f>
        <v>4.95</v>
      </c>
      <c r="F47" s="420"/>
      <c r="G47" s="421">
        <f>案例!F16</f>
        <v>4.6399999999999997</v>
      </c>
      <c r="H47" s="422"/>
      <c r="I47" s="419">
        <f>案例!F17</f>
        <v>4.4400000000000004</v>
      </c>
      <c r="J47" s="422"/>
      <c r="K47" s="1765"/>
      <c r="L47" s="2493"/>
      <c r="M47" s="2486"/>
      <c r="N47" s="2486"/>
      <c r="O47" s="2486"/>
      <c r="P47" s="3429" t="str">
        <f>A47</f>
        <v>成交单价（元/平方米）</v>
      </c>
      <c r="Q47" s="3429"/>
      <c r="R47" s="3424">
        <f>E47</f>
        <v>4.95</v>
      </c>
      <c r="S47" s="3424"/>
      <c r="T47" s="3424">
        <f>G47</f>
        <v>4.6399999999999997</v>
      </c>
      <c r="U47" s="3424"/>
      <c r="V47" s="3424">
        <f>I47</f>
        <v>4.4400000000000004</v>
      </c>
      <c r="W47" s="3424"/>
      <c r="X47" s="385"/>
      <c r="Y47" s="673"/>
      <c r="Z47" s="385"/>
      <c r="AA47" s="385"/>
      <c r="AB47" s="385"/>
      <c r="AC47" s="385"/>
    </row>
    <row r="48" spans="1:29" ht="15.75" thickBot="1">
      <c r="A48" s="423" t="s">
        <v>1709</v>
      </c>
      <c r="B48" s="424"/>
      <c r="C48" s="1082">
        <f>R49</f>
        <v>4.7</v>
      </c>
      <c r="D48" s="2139" t="s">
        <v>2138</v>
      </c>
      <c r="E48" s="1083">
        <f>R48</f>
        <v>5</v>
      </c>
      <c r="F48" s="2140"/>
      <c r="G48" s="1082">
        <f>T48</f>
        <v>4.5999999999999996</v>
      </c>
      <c r="H48" s="2140"/>
      <c r="I48" s="1083">
        <f>V48</f>
        <v>4.4000000000000004</v>
      </c>
      <c r="J48" s="2140"/>
      <c r="K48" s="2141">
        <f>F48+H48+J48</f>
        <v>0</v>
      </c>
      <c r="L48" s="2493"/>
      <c r="M48" s="2486"/>
      <c r="N48" s="2486"/>
      <c r="O48" s="2486"/>
      <c r="P48" s="3429" t="str">
        <f>A48</f>
        <v>比较价值（元/平方米）</v>
      </c>
      <c r="Q48" s="3429"/>
      <c r="R48" s="3424">
        <f>IF(F1="售价",ROUND(PRODUCT(R47,AA7:AA46),0),ROUND(PRODUCT(R47,AA7:AA46),1))</f>
        <v>5</v>
      </c>
      <c r="S48" s="3424"/>
      <c r="T48" s="3424">
        <f>IF(F1="售价",ROUND(PRODUCT(T47,AB7:AB46),0),ROUND(PRODUCT(T47,AB7:AB46),1))</f>
        <v>4.5999999999999996</v>
      </c>
      <c r="U48" s="3424"/>
      <c r="V48" s="3424">
        <f>IF(F1="售价",ROUND(PRODUCT(V47,AC7:AC46),0),ROUND(PRODUCT(V47,AC7:AC46),1))</f>
        <v>4.4000000000000004</v>
      </c>
      <c r="W48" s="3424"/>
      <c r="X48" s="385"/>
      <c r="Y48" s="385"/>
      <c r="Z48" s="385"/>
      <c r="AA48" s="385"/>
      <c r="AB48" s="385"/>
      <c r="AC48" s="385"/>
    </row>
    <row r="49" spans="1:29" ht="15.75" thickBot="1">
      <c r="A49" s="427" t="s">
        <v>1710</v>
      </c>
      <c r="B49" s="428"/>
      <c r="C49" s="1084">
        <f>R49</f>
        <v>4.7</v>
      </c>
      <c r="D49" s="351"/>
      <c r="E49" s="351"/>
      <c r="F49" s="351"/>
      <c r="G49" s="351"/>
      <c r="H49" s="351"/>
      <c r="I49" s="351"/>
      <c r="J49" s="351"/>
      <c r="K49" s="1766"/>
      <c r="L49" s="2493"/>
      <c r="M49" s="2486"/>
      <c r="N49" s="2486"/>
      <c r="O49" s="2486"/>
      <c r="P49" s="3426" t="str">
        <f>A49</f>
        <v>估价对象XX用房的比较价值（楼面单价，元/平方米）</v>
      </c>
      <c r="Q49" s="3427"/>
      <c r="R49" s="3428">
        <f>IF(F1="售价",ROUND(IF(D48="简单平均",AVERAGE(R48:V48),R48*F48+T48*H48+V48*J48),0),ROUND(IF(D48="简单平均",AVERAGE(R48:V48),R48*F48+T48*H48+V48*J48),1))</f>
        <v>4.7</v>
      </c>
      <c r="S49" s="3428"/>
      <c r="T49" s="3428"/>
      <c r="U49" s="3428"/>
      <c r="V49" s="3428"/>
      <c r="W49" s="342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f>IF(E47&lt;E48,E48/E47-1,E47/E48-1)</f>
        <v>1.0101010101010166E-2</v>
      </c>
      <c r="F52" s="435" t="str">
        <f>IF(OR(E52&gt;=0.3,E52&lt;=-0.3),"超过30%","")</f>
        <v/>
      </c>
      <c r="G52" s="434">
        <f>IF(G47&lt;G48,G48/G47-1,G47/G48-1)</f>
        <v>8.6956521739129933E-3</v>
      </c>
      <c r="H52" s="435" t="str">
        <f>IF(OR(G52&gt;=0.3,G52&lt;=-0.3),"超过30%","")</f>
        <v/>
      </c>
      <c r="I52" s="434">
        <f>IF(I47&lt;I48,I48/I47-1,I47/I48-1)</f>
        <v>9.0909090909090384E-3</v>
      </c>
      <c r="J52" s="435" t="str">
        <f>IF(OR(I52&gt;=0.3,I52&lt;=-0.3),"超过30%","")</f>
        <v/>
      </c>
      <c r="K52" s="2498"/>
      <c r="L52" s="2494"/>
      <c r="M52" s="2486"/>
      <c r="N52" s="2486"/>
      <c r="O52" s="2486"/>
    </row>
    <row r="53" spans="1:29" ht="13.5" customHeight="1">
      <c r="A53" s="2486"/>
      <c r="B53" s="2486"/>
      <c r="C53" s="432" t="s">
        <v>1712</v>
      </c>
      <c r="D53" s="436"/>
      <c r="E53" s="434">
        <f>IF(E48&lt;G48,G48/E48-1,E48/G48-1)</f>
        <v>8.6956521739130599E-2</v>
      </c>
      <c r="F53" s="435" t="str">
        <f>IF(OR(E53&gt;=0.2,E53&lt;=-0.2),"超过20%","")</f>
        <v/>
      </c>
      <c r="G53" s="434">
        <f>IF(G48&lt;I48,I48/G48-1,G48/I48-1)</f>
        <v>4.5454545454545192E-2</v>
      </c>
      <c r="H53" s="435" t="str">
        <f>IF(OR(G53&gt;=0.2,G53&lt;=-0.2),"超过20%","")</f>
        <v/>
      </c>
      <c r="I53" s="434">
        <f>IF(I48&lt;E48,E48/I48-1,I48/E48-1)</f>
        <v>0.13636363636363624</v>
      </c>
      <c r="J53" s="435" t="str">
        <f>IF(OR(I53&gt;=0.2,I53&lt;=-0.2),"超过20%","")</f>
        <v/>
      </c>
      <c r="K53" s="2498"/>
      <c r="L53" s="2494"/>
      <c r="M53" s="2486"/>
      <c r="N53" s="2486"/>
      <c r="O53" s="2486"/>
    </row>
    <row r="54" spans="1:29" s="437" customFormat="1" ht="13.5" customHeight="1">
      <c r="A54" s="2496"/>
      <c r="B54" s="2496"/>
      <c r="C54" s="432" t="s">
        <v>1713</v>
      </c>
      <c r="D54" s="436"/>
      <c r="E54" s="434">
        <f>IF(E47&lt;G47,G47/E47-1,E47/G47-1)</f>
        <v>6.6810344827586299E-2</v>
      </c>
      <c r="F54" s="435" t="str">
        <f>IF(OR(E54&gt;=0.3,E54&lt;=-0.3),"超过30%","")</f>
        <v/>
      </c>
      <c r="G54" s="434">
        <f>IF(G47&lt;I47,I47/G47-1,G47/I47-1)</f>
        <v>4.5045045045044807E-2</v>
      </c>
      <c r="H54" s="435" t="str">
        <f>IF(OR(G54&gt;=0.3,G54&lt;=-0.3),"超过30%","")</f>
        <v/>
      </c>
      <c r="I54" s="434">
        <f>IF(I47&lt;E47,E47/I47-1,I47/E47-1)</f>
        <v>0.11486486486486491</v>
      </c>
      <c r="J54" s="435" t="str">
        <f>IF(OR(I54&gt;=0.3,I54&lt;=-0.3),"超过30%","")</f>
        <v/>
      </c>
      <c r="K54" s="2501"/>
      <c r="L54" s="2495"/>
      <c r="M54" s="2496"/>
      <c r="N54" s="2496"/>
      <c r="O54" s="2496"/>
      <c r="P54" s="1768"/>
    </row>
    <row r="55" spans="1:29" s="437" customFormat="1">
      <c r="A55" s="2496"/>
      <c r="B55" s="2499"/>
      <c r="C55" s="2500"/>
      <c r="D55" s="2496"/>
      <c r="E55" s="2496"/>
      <c r="F55" s="2496"/>
      <c r="G55" s="2496"/>
      <c r="H55" s="2496"/>
      <c r="I55" s="2496"/>
      <c r="J55" s="2496"/>
      <c r="K55" s="2501"/>
      <c r="L55" s="2495"/>
      <c r="M55" s="2496"/>
      <c r="N55" s="2496"/>
      <c r="O55" s="2496"/>
      <c r="P55" s="1768"/>
    </row>
    <row r="56" spans="1:29">
      <c r="A56" s="2486"/>
      <c r="B56" s="2499"/>
      <c r="C56" s="2500"/>
      <c r="D56" s="2486"/>
      <c r="E56" s="2486"/>
      <c r="F56" s="2486"/>
      <c r="G56" s="2486"/>
      <c r="H56" s="2486"/>
      <c r="I56" s="2486"/>
      <c r="J56" s="2486"/>
      <c r="K56" s="2498"/>
      <c r="L56" s="2494"/>
      <c r="M56" s="2486"/>
      <c r="N56" s="2486"/>
      <c r="O56" s="2486"/>
    </row>
    <row r="57" spans="1:29" ht="21.75" thickBot="1">
      <c r="A57" s="658" t="s">
        <v>1714</v>
      </c>
      <c r="B57" s="385"/>
      <c r="C57" s="659"/>
      <c r="D57" s="659"/>
      <c r="E57" s="659"/>
      <c r="F57" s="660"/>
      <c r="G57" s="660"/>
      <c r="H57" s="659"/>
      <c r="I57" s="659"/>
      <c r="J57" s="659"/>
      <c r="K57" s="887"/>
      <c r="L57" s="888"/>
      <c r="M57" s="886"/>
      <c r="N57" s="886"/>
      <c r="O57" s="886"/>
      <c r="P57" s="1769"/>
      <c r="Q57" s="439"/>
    </row>
    <row r="58" spans="1:29" s="442" customFormat="1" ht="15">
      <c r="A58" s="440" t="s">
        <v>1679</v>
      </c>
      <c r="B58" s="441"/>
      <c r="C58" s="1105" t="str">
        <f>YEAR(C7)&amp;"-"&amp;MONTH(C7)</f>
        <v>2025-12</v>
      </c>
      <c r="D58" s="1104">
        <f>EDATE(C58,-1)</f>
        <v>45962</v>
      </c>
      <c r="E58" s="1104">
        <f>EDATE(D58,-1)</f>
        <v>45931</v>
      </c>
      <c r="F58" s="1104">
        <f t="shared" ref="F58:O58" si="19">EDATE(E58,-1)</f>
        <v>45901</v>
      </c>
      <c r="G58" s="1104">
        <f t="shared" si="19"/>
        <v>45870</v>
      </c>
      <c r="H58" s="1104">
        <f t="shared" si="19"/>
        <v>45839</v>
      </c>
      <c r="I58" s="1104">
        <f t="shared" si="19"/>
        <v>45809</v>
      </c>
      <c r="J58" s="1104">
        <f t="shared" si="19"/>
        <v>45778</v>
      </c>
      <c r="K58" s="1104">
        <f t="shared" si="19"/>
        <v>45748</v>
      </c>
      <c r="L58" s="1104">
        <f t="shared" si="19"/>
        <v>45717</v>
      </c>
      <c r="M58" s="1104">
        <f t="shared" si="19"/>
        <v>45689</v>
      </c>
      <c r="N58" s="1104">
        <f t="shared" si="19"/>
        <v>45658</v>
      </c>
      <c r="O58" s="1104">
        <f t="shared" si="19"/>
        <v>45627</v>
      </c>
      <c r="P58" s="1100"/>
    </row>
    <row r="59" spans="1:29" s="102" customFormat="1" ht="15">
      <c r="A59" s="443"/>
      <c r="B59" s="1770"/>
      <c r="C59" s="1102">
        <v>100</v>
      </c>
      <c r="D59" s="445">
        <v>100</v>
      </c>
      <c r="E59" s="446">
        <v>100</v>
      </c>
      <c r="F59" s="446">
        <v>100</v>
      </c>
      <c r="G59" s="446">
        <v>100</v>
      </c>
      <c r="H59" s="446">
        <v>100</v>
      </c>
      <c r="I59" s="446"/>
      <c r="J59" s="446"/>
      <c r="K59" s="446"/>
      <c r="L59" s="446"/>
      <c r="M59" s="447"/>
      <c r="N59" s="446"/>
      <c r="O59" s="447"/>
      <c r="P59" s="1771"/>
    </row>
    <row r="60" spans="1:29" s="102" customFormat="1" ht="15.75" thickBot="1">
      <c r="A60" s="449" t="s">
        <v>1716</v>
      </c>
      <c r="B60" s="450"/>
      <c r="C60" s="451"/>
      <c r="D60" s="452"/>
      <c r="E60" s="452"/>
      <c r="F60" s="452"/>
      <c r="G60" s="452"/>
      <c r="H60" s="452"/>
      <c r="I60" s="452"/>
      <c r="J60" s="452"/>
      <c r="K60" s="452"/>
      <c r="L60" s="452"/>
      <c r="M60" s="453"/>
      <c r="N60" s="452"/>
      <c r="O60" s="453"/>
      <c r="P60" s="1771"/>
      <c r="Q60" s="439"/>
    </row>
    <row r="61" spans="1:29" s="102" customFormat="1" ht="15">
      <c r="A61" s="455" t="s">
        <v>1681</v>
      </c>
      <c r="B61" s="444"/>
      <c r="C61" s="456" t="s">
        <v>1718</v>
      </c>
      <c r="D61" s="31"/>
      <c r="E61" s="31"/>
      <c r="F61" s="31"/>
      <c r="G61" s="31"/>
      <c r="H61" s="31"/>
      <c r="I61" s="31"/>
      <c r="J61" s="31"/>
      <c r="K61" s="31"/>
      <c r="L61" s="457"/>
      <c r="M61" s="458"/>
      <c r="N61" s="878"/>
      <c r="O61" s="878"/>
      <c r="P61" s="1772"/>
      <c r="Q61" s="439"/>
    </row>
    <row r="62" spans="1:29" s="102" customFormat="1" ht="15.75" thickBot="1">
      <c r="A62" s="455"/>
      <c r="B62" s="444"/>
      <c r="C62" s="445">
        <v>100</v>
      </c>
      <c r="D62" s="446"/>
      <c r="E62" s="446"/>
      <c r="F62" s="446"/>
      <c r="G62" s="446"/>
      <c r="H62" s="446"/>
      <c r="I62" s="446"/>
      <c r="J62" s="446"/>
      <c r="K62" s="446"/>
      <c r="L62" s="446"/>
      <c r="M62" s="448"/>
      <c r="N62" s="878"/>
      <c r="O62" s="878"/>
      <c r="P62" s="1771"/>
      <c r="Q62" s="439"/>
    </row>
    <row r="63" spans="1:29">
      <c r="A63" s="379" t="s">
        <v>1719</v>
      </c>
      <c r="B63" s="460" t="s">
        <v>1685</v>
      </c>
      <c r="C63" s="461">
        <f>C9</f>
        <v>0</v>
      </c>
      <c r="D63" s="462"/>
      <c r="E63" s="462"/>
      <c r="F63" s="462"/>
      <c r="G63" s="462"/>
      <c r="H63" s="462"/>
      <c r="I63" s="462"/>
      <c r="J63" s="462"/>
      <c r="K63" s="463"/>
      <c r="L63" s="464"/>
      <c r="M63" s="465"/>
      <c r="N63" s="879"/>
      <c r="O63" s="879"/>
      <c r="P63" s="1773"/>
      <c r="Q63" s="439"/>
    </row>
    <row r="64" spans="1:29" ht="15.75" thickBot="1">
      <c r="A64" s="367"/>
      <c r="B64" s="466"/>
      <c r="C64" s="467">
        <v>100</v>
      </c>
      <c r="D64" s="467"/>
      <c r="E64" s="467"/>
      <c r="F64" s="467"/>
      <c r="G64" s="467"/>
      <c r="H64" s="467"/>
      <c r="I64" s="467"/>
      <c r="J64" s="467"/>
      <c r="K64" s="467"/>
      <c r="L64" s="467"/>
      <c r="M64" s="468"/>
      <c r="N64" s="880"/>
      <c r="O64" s="880"/>
      <c r="P64" s="1773"/>
      <c r="Q64" s="439"/>
    </row>
    <row r="65" spans="1:17" ht="27.75" thickTop="1">
      <c r="A65" s="367"/>
      <c r="B65" s="469" t="s">
        <v>1688</v>
      </c>
      <c r="C65" s="513"/>
      <c r="D65" s="513"/>
      <c r="E65" s="513"/>
      <c r="F65" s="513"/>
      <c r="G65" s="513"/>
      <c r="H65" s="513"/>
      <c r="I65" s="513"/>
      <c r="J65" s="513"/>
      <c r="K65" s="513"/>
      <c r="L65" s="513"/>
      <c r="M65" s="513"/>
      <c r="N65" s="880"/>
      <c r="O65" s="880"/>
      <c r="P65" s="1773"/>
      <c r="Q65" s="439"/>
    </row>
    <row r="66" spans="1:17" ht="15.75" thickBot="1">
      <c r="A66" s="367"/>
      <c r="B66" s="474"/>
      <c r="C66" s="467"/>
      <c r="D66" s="467"/>
      <c r="E66" s="467"/>
      <c r="F66" s="467"/>
      <c r="G66" s="467"/>
      <c r="H66" s="467"/>
      <c r="I66" s="467"/>
      <c r="J66" s="467"/>
      <c r="K66" s="467"/>
      <c r="L66" s="467"/>
      <c r="M66" s="468"/>
      <c r="N66" s="880"/>
      <c r="O66" s="880"/>
      <c r="P66" s="1773"/>
      <c r="Q66" s="439"/>
    </row>
    <row r="67" spans="1:17" ht="15.75" thickTop="1">
      <c r="A67" s="367"/>
      <c r="B67" s="477" t="s">
        <v>1689</v>
      </c>
      <c r="C67" s="478" t="str">
        <f>C68&amp;"（含）"&amp;"-"&amp;D68</f>
        <v>0（含）-1</v>
      </c>
      <c r="D67" s="478" t="str">
        <f t="shared" ref="D67:L67" si="20">D68&amp;"（含）"&amp;"-"&amp;E68</f>
        <v>1（含）-2</v>
      </c>
      <c r="E67" s="478" t="str">
        <f t="shared" si="20"/>
        <v>2（含）-3</v>
      </c>
      <c r="F67" s="478" t="str">
        <f t="shared" si="20"/>
        <v>3（含）-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3"/>
      <c r="Q67" s="439"/>
    </row>
    <row r="68" spans="1:17" ht="15">
      <c r="A68" s="367"/>
      <c r="B68" s="479"/>
      <c r="C68" s="480">
        <v>0</v>
      </c>
      <c r="D68" s="480">
        <v>1</v>
      </c>
      <c r="E68" s="480">
        <v>2</v>
      </c>
      <c r="F68" s="480">
        <v>3</v>
      </c>
      <c r="G68" s="480"/>
      <c r="H68" s="480"/>
      <c r="I68" s="480"/>
      <c r="J68" s="480"/>
      <c r="K68" s="481"/>
      <c r="L68" s="482"/>
      <c r="M68" s="483"/>
      <c r="N68" s="879"/>
      <c r="O68" s="879"/>
      <c r="P68" s="1773"/>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3"/>
      <c r="Q69" s="439"/>
    </row>
    <row r="70" spans="1:17" s="408" customFormat="1" ht="15.75" thickTop="1">
      <c r="A70" s="484"/>
      <c r="B70" s="469">
        <f>B12</f>
        <v>111</v>
      </c>
      <c r="C70" s="485"/>
      <c r="D70" s="485"/>
      <c r="E70" s="485"/>
      <c r="F70" s="485"/>
      <c r="G70" s="485"/>
      <c r="H70" s="486"/>
      <c r="I70" s="486"/>
      <c r="J70" s="486"/>
      <c r="K70" s="486"/>
      <c r="L70" s="487"/>
      <c r="M70" s="488"/>
      <c r="N70" s="881"/>
      <c r="O70" s="881"/>
      <c r="P70" s="1774"/>
      <c r="Q70" s="490"/>
    </row>
    <row r="71" spans="1:17" s="408" customFormat="1" ht="15.75" thickBot="1">
      <c r="A71" s="484"/>
      <c r="B71" s="474"/>
      <c r="C71" s="491"/>
      <c r="D71" s="467"/>
      <c r="E71" s="467"/>
      <c r="F71" s="467"/>
      <c r="G71" s="467"/>
      <c r="H71" s="467"/>
      <c r="I71" s="467"/>
      <c r="J71" s="467"/>
      <c r="K71" s="467"/>
      <c r="L71" s="467"/>
      <c r="M71" s="468"/>
      <c r="N71" s="880"/>
      <c r="O71" s="880"/>
      <c r="P71" s="1774"/>
      <c r="Q71" s="490"/>
    </row>
    <row r="72" spans="1:17" s="408" customFormat="1" ht="15.75" thickTop="1">
      <c r="A72" s="484"/>
      <c r="B72" s="469">
        <f>B13</f>
        <v>111</v>
      </c>
      <c r="C72" s="485"/>
      <c r="D72" s="485"/>
      <c r="E72" s="485"/>
      <c r="F72" s="485"/>
      <c r="G72" s="485"/>
      <c r="H72" s="486"/>
      <c r="I72" s="486"/>
      <c r="J72" s="486"/>
      <c r="K72" s="486"/>
      <c r="L72" s="487"/>
      <c r="M72" s="488"/>
      <c r="N72" s="881"/>
      <c r="O72" s="881"/>
      <c r="P72" s="1775"/>
      <c r="Q72" s="492"/>
    </row>
    <row r="73" spans="1:17" s="408" customFormat="1" ht="15.75" thickBot="1">
      <c r="A73" s="484"/>
      <c r="B73" s="474"/>
      <c r="C73" s="491"/>
      <c r="D73" s="491"/>
      <c r="E73" s="491"/>
      <c r="F73" s="491"/>
      <c r="G73" s="491"/>
      <c r="H73" s="493"/>
      <c r="I73" s="493"/>
      <c r="J73" s="493"/>
      <c r="K73" s="493"/>
      <c r="L73" s="493"/>
      <c r="M73" s="494"/>
      <c r="N73" s="881"/>
      <c r="O73" s="881"/>
      <c r="P73" s="1774"/>
      <c r="Q73" s="490"/>
    </row>
    <row r="74" spans="1:17" s="408" customFormat="1" ht="15.75" thickTop="1">
      <c r="A74" s="484"/>
      <c r="B74" s="477">
        <f>B14</f>
        <v>111</v>
      </c>
      <c r="C74" s="485"/>
      <c r="D74" s="485"/>
      <c r="E74" s="485"/>
      <c r="F74" s="485"/>
      <c r="G74" s="31"/>
      <c r="H74" s="495"/>
      <c r="I74" s="495"/>
      <c r="J74" s="495"/>
      <c r="K74" s="495"/>
      <c r="L74" s="496"/>
      <c r="M74" s="497"/>
      <c r="N74" s="881"/>
      <c r="O74" s="881"/>
      <c r="P74" s="1776"/>
      <c r="Q74" s="490"/>
    </row>
    <row r="75" spans="1:17" s="408" customFormat="1" ht="15.75" thickBot="1">
      <c r="A75" s="499"/>
      <c r="B75" s="500"/>
      <c r="C75" s="501"/>
      <c r="D75" s="501"/>
      <c r="E75" s="501"/>
      <c r="F75" s="501"/>
      <c r="G75" s="501"/>
      <c r="H75" s="502"/>
      <c r="I75" s="502"/>
      <c r="J75" s="502"/>
      <c r="K75" s="502"/>
      <c r="L75" s="502"/>
      <c r="M75" s="503"/>
      <c r="N75" s="881"/>
      <c r="O75" s="881"/>
      <c r="P75" s="1774"/>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7"/>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80"/>
      <c r="O77" s="880"/>
      <c r="P77" s="1773"/>
      <c r="Q77" s="439"/>
    </row>
    <row r="78" spans="1:17" ht="15.75" thickTop="1">
      <c r="A78" s="367"/>
      <c r="B78" s="469" t="s">
        <v>1726</v>
      </c>
      <c r="C78" s="509" t="s">
        <v>1721</v>
      </c>
      <c r="D78" s="509" t="s">
        <v>1722</v>
      </c>
      <c r="E78" s="509" t="s">
        <v>1723</v>
      </c>
      <c r="F78" s="509" t="s">
        <v>1724</v>
      </c>
      <c r="G78" s="509" t="s">
        <v>1725</v>
      </c>
      <c r="H78" s="470"/>
      <c r="I78" s="470"/>
      <c r="J78" s="470"/>
      <c r="K78" s="471"/>
      <c r="L78" s="472"/>
      <c r="M78" s="473"/>
      <c r="N78" s="879"/>
      <c r="O78" s="879"/>
      <c r="P78" s="1773"/>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80"/>
      <c r="O79" s="880"/>
      <c r="P79" s="1773"/>
      <c r="Q79" s="439"/>
    </row>
    <row r="80" spans="1:17" ht="15.75" thickTop="1">
      <c r="A80" s="367"/>
      <c r="B80" s="469" t="s">
        <v>1727</v>
      </c>
      <c r="C80" s="509" t="s">
        <v>1721</v>
      </c>
      <c r="D80" s="509" t="s">
        <v>1722</v>
      </c>
      <c r="E80" s="509" t="s">
        <v>1723</v>
      </c>
      <c r="F80" s="509" t="s">
        <v>1724</v>
      </c>
      <c r="G80" s="509" t="s">
        <v>1725</v>
      </c>
      <c r="H80" s="470"/>
      <c r="I80" s="470"/>
      <c r="J80" s="470"/>
      <c r="K80" s="471"/>
      <c r="L80" s="472"/>
      <c r="M80" s="473"/>
      <c r="N80" s="879"/>
      <c r="O80" s="879"/>
      <c r="P80" s="1773"/>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80"/>
      <c r="O81" s="880"/>
      <c r="P81" s="1773"/>
      <c r="Q81" s="439"/>
    </row>
    <row r="82" spans="1:17" ht="15.75" thickTop="1">
      <c r="A82" s="367"/>
      <c r="B82" s="477" t="s">
        <v>1260</v>
      </c>
      <c r="C82" s="470" t="s">
        <v>1728</v>
      </c>
      <c r="D82" s="470" t="s">
        <v>1729</v>
      </c>
      <c r="E82" s="470" t="s">
        <v>1730</v>
      </c>
      <c r="F82" s="470" t="s">
        <v>1731</v>
      </c>
      <c r="G82" s="470" t="s">
        <v>1732</v>
      </c>
      <c r="H82" s="470"/>
      <c r="I82" s="470"/>
      <c r="J82" s="470"/>
      <c r="K82" s="470"/>
      <c r="L82" s="470"/>
      <c r="M82" s="1063"/>
      <c r="N82" s="880"/>
      <c r="O82" s="880"/>
      <c r="P82" s="1773"/>
      <c r="Q82" s="439"/>
    </row>
    <row r="83" spans="1:17" ht="15.7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3"/>
      <c r="Q83" s="439"/>
    </row>
    <row r="84" spans="1:17" ht="15.75" thickTop="1">
      <c r="A84" s="367"/>
      <c r="B84" s="469" t="s">
        <v>1733</v>
      </c>
      <c r="C84" s="509" t="s">
        <v>1721</v>
      </c>
      <c r="D84" s="509" t="s">
        <v>1722</v>
      </c>
      <c r="E84" s="509" t="s">
        <v>1723</v>
      </c>
      <c r="F84" s="509" t="s">
        <v>1724</v>
      </c>
      <c r="G84" s="509" t="s">
        <v>1725</v>
      </c>
      <c r="H84" s="470"/>
      <c r="I84" s="470"/>
      <c r="J84" s="470"/>
      <c r="K84" s="471"/>
      <c r="L84" s="472"/>
      <c r="M84" s="473"/>
      <c r="N84" s="879"/>
      <c r="O84" s="879"/>
      <c r="P84" s="1773"/>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80"/>
      <c r="O85" s="880"/>
      <c r="P85" s="1773"/>
      <c r="Q85" s="439"/>
    </row>
    <row r="86" spans="1:17" s="102" customFormat="1" ht="15.75" thickTop="1">
      <c r="A86" s="370"/>
      <c r="B86" s="469" t="s">
        <v>1734</v>
      </c>
      <c r="C86" s="485"/>
      <c r="D86" s="485"/>
      <c r="E86" s="485"/>
      <c r="F86" s="485"/>
      <c r="G86" s="485"/>
      <c r="H86" s="485"/>
      <c r="I86" s="485"/>
      <c r="J86" s="485"/>
      <c r="K86" s="485"/>
      <c r="L86" s="510"/>
      <c r="M86" s="511"/>
      <c r="N86" s="878"/>
      <c r="O86" s="878"/>
      <c r="P86" s="1773"/>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3"/>
      <c r="Q87" s="439"/>
    </row>
    <row r="88" spans="1:17" s="102" customFormat="1" ht="15.75" thickTop="1">
      <c r="A88" s="370"/>
      <c r="B88" s="469" t="s">
        <v>1735</v>
      </c>
      <c r="C88" s="3174" t="s">
        <v>3485</v>
      </c>
      <c r="D88" s="3174" t="s">
        <v>3486</v>
      </c>
      <c r="E88" s="485"/>
      <c r="F88" s="1778"/>
      <c r="G88" s="485"/>
      <c r="H88" s="485"/>
      <c r="I88" s="485"/>
      <c r="J88" s="485"/>
      <c r="K88" s="485"/>
      <c r="L88" s="485"/>
      <c r="M88" s="511"/>
      <c r="N88" s="878"/>
      <c r="O88" s="878"/>
      <c r="P88" s="1773"/>
      <c r="Q88" s="439"/>
    </row>
    <row r="89" spans="1:17" s="102" customFormat="1" ht="15.75" thickBot="1">
      <c r="A89" s="370"/>
      <c r="B89" s="474"/>
      <c r="C89" s="512">
        <v>100</v>
      </c>
      <c r="D89" s="475">
        <f t="shared" ref="D89:M89" si="24">C89-$K26</f>
        <v>99</v>
      </c>
      <c r="E89" s="475">
        <f t="shared" si="24"/>
        <v>98</v>
      </c>
      <c r="F89" s="475">
        <f t="shared" si="24"/>
        <v>97</v>
      </c>
      <c r="G89" s="475">
        <f t="shared" si="24"/>
        <v>96</v>
      </c>
      <c r="H89" s="475">
        <f t="shared" si="24"/>
        <v>95</v>
      </c>
      <c r="I89" s="475">
        <f t="shared" si="24"/>
        <v>94</v>
      </c>
      <c r="J89" s="475">
        <f t="shared" si="24"/>
        <v>93</v>
      </c>
      <c r="K89" s="475">
        <f t="shared" si="24"/>
        <v>92</v>
      </c>
      <c r="L89" s="475">
        <f t="shared" si="24"/>
        <v>91</v>
      </c>
      <c r="M89" s="475">
        <f t="shared" si="24"/>
        <v>90</v>
      </c>
      <c r="N89" s="880"/>
      <c r="O89" s="880"/>
      <c r="P89" s="1773"/>
      <c r="Q89" s="439"/>
    </row>
    <row r="90" spans="1:17" s="408" customFormat="1" ht="15.75" thickTop="1">
      <c r="A90" s="484"/>
      <c r="B90" s="469" t="str">
        <f>B27</f>
        <v>楼层</v>
      </c>
      <c r="C90" s="3176" t="s">
        <v>3491</v>
      </c>
      <c r="D90" s="3176" t="s">
        <v>3492</v>
      </c>
      <c r="E90" s="3174" t="s">
        <v>3425</v>
      </c>
      <c r="F90" s="3176" t="s">
        <v>3494</v>
      </c>
      <c r="G90" s="3176" t="s">
        <v>3493</v>
      </c>
      <c r="H90" s="486"/>
      <c r="I90" s="486"/>
      <c r="J90" s="486"/>
      <c r="K90" s="486"/>
      <c r="L90" s="487"/>
      <c r="M90" s="488"/>
      <c r="N90" s="881"/>
      <c r="O90" s="881"/>
      <c r="P90" s="1774"/>
      <c r="Q90" s="490"/>
    </row>
    <row r="91" spans="1:17" s="408" customFormat="1" ht="15.75" thickBot="1">
      <c r="A91" s="484"/>
      <c r="B91" s="474"/>
      <c r="C91" s="491">
        <f>'比较法-住宅'!C91</f>
        <v>100</v>
      </c>
      <c r="D91" s="491">
        <f>'比较法-住宅'!D91</f>
        <v>100</v>
      </c>
      <c r="E91" s="491">
        <f>'比较法-住宅'!E91</f>
        <v>100.5</v>
      </c>
      <c r="F91" s="491">
        <f>'比较法-住宅'!F91</f>
        <v>101</v>
      </c>
      <c r="G91" s="491">
        <f>'比较法-住宅'!G91</f>
        <v>101.5</v>
      </c>
      <c r="H91" s="493"/>
      <c r="I91" s="493"/>
      <c r="J91" s="493"/>
      <c r="K91" s="493"/>
      <c r="L91" s="493"/>
      <c r="M91" s="494"/>
      <c r="N91" s="881"/>
      <c r="O91" s="881"/>
      <c r="P91" s="1774"/>
      <c r="Q91" s="490"/>
    </row>
    <row r="92" spans="1:17" ht="15.75" thickTop="1">
      <c r="A92" s="367"/>
      <c r="B92" s="469">
        <f>B28</f>
        <v>111</v>
      </c>
      <c r="C92" s="485"/>
      <c r="D92" s="485"/>
      <c r="E92" s="485"/>
      <c r="F92" s="485"/>
      <c r="G92" s="513"/>
      <c r="H92" s="513"/>
      <c r="I92" s="513"/>
      <c r="J92" s="513"/>
      <c r="K92" s="514"/>
      <c r="L92" s="515"/>
      <c r="M92" s="516"/>
      <c r="N92" s="879"/>
      <c r="O92" s="879"/>
      <c r="P92" s="1773"/>
      <c r="Q92" s="439"/>
    </row>
    <row r="93" spans="1:17" ht="15.75" thickBot="1">
      <c r="A93" s="367"/>
      <c r="B93" s="474"/>
      <c r="C93" s="491"/>
      <c r="D93" s="467"/>
      <c r="E93" s="467"/>
      <c r="F93" s="467"/>
      <c r="G93" s="467"/>
      <c r="H93" s="467"/>
      <c r="I93" s="467"/>
      <c r="J93" s="467"/>
      <c r="K93" s="467"/>
      <c r="L93" s="467"/>
      <c r="M93" s="468"/>
      <c r="N93" s="880"/>
      <c r="O93" s="880"/>
      <c r="P93" s="1773"/>
      <c r="Q93" s="439"/>
    </row>
    <row r="94" spans="1:17" ht="15.75" thickTop="1">
      <c r="A94" s="367"/>
      <c r="B94" s="469">
        <f>B29</f>
        <v>111</v>
      </c>
      <c r="C94" s="485"/>
      <c r="D94" s="485"/>
      <c r="E94" s="485"/>
      <c r="F94" s="485"/>
      <c r="G94" s="513"/>
      <c r="H94" s="513"/>
      <c r="I94" s="513"/>
      <c r="J94" s="513"/>
      <c r="K94" s="514"/>
      <c r="L94" s="515"/>
      <c r="M94" s="516"/>
      <c r="N94" s="879"/>
      <c r="O94" s="879"/>
      <c r="P94" s="1773"/>
      <c r="Q94" s="439"/>
    </row>
    <row r="95" spans="1:17" ht="15.75" thickBot="1">
      <c r="A95" s="367"/>
      <c r="B95" s="474"/>
      <c r="C95" s="491"/>
      <c r="D95" s="491"/>
      <c r="E95" s="491"/>
      <c r="F95" s="491"/>
      <c r="G95" s="467"/>
      <c r="H95" s="467"/>
      <c r="I95" s="467"/>
      <c r="J95" s="467"/>
      <c r="K95" s="467"/>
      <c r="L95" s="467"/>
      <c r="M95" s="468"/>
      <c r="N95" s="880"/>
      <c r="O95" s="880"/>
      <c r="P95" s="1773"/>
      <c r="Q95" s="439"/>
    </row>
    <row r="96" spans="1:17" ht="15.75" thickTop="1">
      <c r="A96" s="367"/>
      <c r="B96" s="469">
        <f>B30</f>
        <v>111</v>
      </c>
      <c r="C96" s="485"/>
      <c r="D96" s="485"/>
      <c r="E96" s="485"/>
      <c r="F96" s="485"/>
      <c r="G96" s="513"/>
      <c r="H96" s="513"/>
      <c r="I96" s="513"/>
      <c r="J96" s="513"/>
      <c r="K96" s="514"/>
      <c r="L96" s="515"/>
      <c r="M96" s="516"/>
      <c r="N96" s="879"/>
      <c r="O96" s="879"/>
      <c r="P96" s="1773"/>
      <c r="Q96" s="439"/>
    </row>
    <row r="97" spans="1:17" ht="15.75" thickBot="1">
      <c r="A97" s="367"/>
      <c r="B97" s="474"/>
      <c r="C97" s="501"/>
      <c r="D97" s="501"/>
      <c r="E97" s="501"/>
      <c r="F97" s="501"/>
      <c r="G97" s="467"/>
      <c r="H97" s="467"/>
      <c r="I97" s="467"/>
      <c r="J97" s="467"/>
      <c r="K97" s="467"/>
      <c r="L97" s="467"/>
      <c r="M97" s="468"/>
      <c r="N97" s="880"/>
      <c r="O97" s="880"/>
      <c r="P97" s="1773"/>
      <c r="Q97" s="439"/>
    </row>
    <row r="98" spans="1:17" ht="15.75" thickTop="1">
      <c r="A98" s="367"/>
      <c r="B98" s="477">
        <f>B31</f>
        <v>111</v>
      </c>
      <c r="C98" s="517"/>
      <c r="D98" s="517"/>
      <c r="E98" s="517"/>
      <c r="F98" s="517"/>
      <c r="G98" s="517"/>
      <c r="H98" s="517"/>
      <c r="I98" s="517"/>
      <c r="J98" s="517"/>
      <c r="K98" s="518"/>
      <c r="L98" s="519"/>
      <c r="M98" s="520"/>
      <c r="N98" s="879"/>
      <c r="O98" s="879"/>
      <c r="P98" s="1773"/>
      <c r="Q98" s="439"/>
    </row>
    <row r="99" spans="1:17" ht="15.75" thickBot="1">
      <c r="A99" s="375"/>
      <c r="B99" s="500"/>
      <c r="C99" s="521"/>
      <c r="D99" s="521"/>
      <c r="E99" s="521"/>
      <c r="F99" s="521"/>
      <c r="G99" s="521"/>
      <c r="H99" s="521"/>
      <c r="I99" s="521"/>
      <c r="J99" s="521"/>
      <c r="K99" s="521"/>
      <c r="L99" s="521"/>
      <c r="M99" s="522"/>
      <c r="N99" s="880"/>
      <c r="O99" s="880"/>
      <c r="P99" s="1773"/>
      <c r="Q99" s="439"/>
    </row>
    <row r="100" spans="1:17">
      <c r="A100" s="379" t="s">
        <v>1694</v>
      </c>
      <c r="B100" s="460" t="s">
        <v>1736</v>
      </c>
      <c r="C100" s="3173" t="s">
        <v>3480</v>
      </c>
      <c r="D100" s="462"/>
      <c r="E100" s="462"/>
      <c r="F100" s="462"/>
      <c r="G100" s="462"/>
      <c r="H100" s="462"/>
      <c r="I100" s="462"/>
      <c r="J100" s="462"/>
      <c r="K100" s="463"/>
      <c r="L100" s="464"/>
      <c r="M100" s="465"/>
      <c r="N100" s="879"/>
      <c r="O100" s="879"/>
      <c r="P100" s="1773"/>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3"/>
      <c r="Q101" s="439"/>
    </row>
    <row r="102" spans="1:17" ht="15.75" thickTop="1">
      <c r="A102" s="367"/>
      <c r="B102" s="469" t="s">
        <v>1737</v>
      </c>
      <c r="C102" s="509" t="str">
        <f>C103&amp;"(含)"&amp;"-"&amp;D103</f>
        <v>0(含)-50</v>
      </c>
      <c r="D102" s="509" t="str">
        <f t="shared" ref="D102:L102" si="26">D103&amp;"(含)"&amp;"-"&amp;E103</f>
        <v>50(含)-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3"/>
      <c r="Q102" s="439"/>
    </row>
    <row r="103" spans="1:17" s="408" customFormat="1">
      <c r="A103" s="406"/>
      <c r="B103" s="523"/>
      <c r="C103" s="6">
        <v>0</v>
      </c>
      <c r="D103" s="6">
        <v>50</v>
      </c>
      <c r="E103" s="6"/>
      <c r="F103" s="6"/>
      <c r="G103" s="6"/>
      <c r="H103" s="6"/>
      <c r="I103" s="6"/>
      <c r="J103" s="524"/>
      <c r="K103" s="524"/>
      <c r="L103" s="525"/>
      <c r="M103" s="526"/>
      <c r="N103" s="881"/>
      <c r="O103" s="881"/>
      <c r="P103" s="1774"/>
      <c r="Q103" s="490"/>
    </row>
    <row r="104" spans="1:17" s="408" customFormat="1" ht="15.75" thickBot="1">
      <c r="A104" s="484"/>
      <c r="B104" s="474"/>
      <c r="C104" s="491">
        <v>100</v>
      </c>
      <c r="D104" s="467">
        <v>101</v>
      </c>
      <c r="E104" s="467"/>
      <c r="F104" s="467"/>
      <c r="G104" s="467"/>
      <c r="H104" s="467"/>
      <c r="I104" s="467"/>
      <c r="J104" s="467"/>
      <c r="K104" s="467"/>
      <c r="L104" s="467"/>
      <c r="M104" s="467"/>
      <c r="N104" s="880"/>
      <c r="O104" s="880"/>
      <c r="P104" s="1774"/>
      <c r="Q104" s="490"/>
    </row>
    <row r="105" spans="1:17" ht="15" thickTop="1">
      <c r="A105" s="409"/>
      <c r="B105" s="469" t="s">
        <v>1738</v>
      </c>
      <c r="C105" s="3174" t="s">
        <v>3481</v>
      </c>
      <c r="D105" s="485"/>
      <c r="E105" s="513"/>
      <c r="F105" s="513"/>
      <c r="G105" s="513"/>
      <c r="H105" s="513"/>
      <c r="I105" s="513"/>
      <c r="J105" s="513"/>
      <c r="K105" s="514"/>
      <c r="L105" s="515"/>
      <c r="M105" s="516"/>
      <c r="N105" s="879"/>
      <c r="O105" s="879"/>
      <c r="P105" s="1773"/>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3"/>
      <c r="Q106" s="439"/>
    </row>
    <row r="107" spans="1:17" ht="15" thickTop="1">
      <c r="A107" s="409"/>
      <c r="B107" s="469" t="s">
        <v>1739</v>
      </c>
      <c r="C107" s="513"/>
      <c r="D107" s="513"/>
      <c r="E107" s="513"/>
      <c r="F107" s="513"/>
      <c r="G107" s="513"/>
      <c r="H107" s="513"/>
      <c r="I107" s="513"/>
      <c r="J107" s="513"/>
      <c r="K107" s="514"/>
      <c r="L107" s="515"/>
      <c r="M107" s="516"/>
      <c r="N107" s="879"/>
      <c r="O107" s="879"/>
      <c r="P107" s="1773"/>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3"/>
      <c r="Q108" s="439"/>
    </row>
    <row r="109" spans="1:17" ht="15" thickTop="1">
      <c r="A109" s="409"/>
      <c r="B109" s="469" t="s">
        <v>1740</v>
      </c>
      <c r="C109" s="3174" t="s">
        <v>3482</v>
      </c>
      <c r="D109" s="485"/>
      <c r="E109" s="485"/>
      <c r="F109" s="513"/>
      <c r="G109" s="513"/>
      <c r="H109" s="513"/>
      <c r="I109" s="513"/>
      <c r="J109" s="513"/>
      <c r="K109" s="514"/>
      <c r="L109" s="515"/>
      <c r="M109" s="516"/>
      <c r="N109" s="879"/>
      <c r="O109" s="879"/>
      <c r="P109" s="1773"/>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3"/>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4"/>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4"/>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4"/>
      <c r="Q113" s="490"/>
    </row>
    <row r="114" spans="1:17" ht="15" thickTop="1">
      <c r="A114" s="409"/>
      <c r="B114" s="469" t="s">
        <v>1741</v>
      </c>
      <c r="C114" s="3174" t="s">
        <v>3483</v>
      </c>
      <c r="D114" s="485"/>
      <c r="E114" s="513"/>
      <c r="F114" s="513"/>
      <c r="G114" s="513"/>
      <c r="H114" s="513"/>
      <c r="I114" s="513"/>
      <c r="J114" s="513"/>
      <c r="K114" s="514"/>
      <c r="L114" s="515"/>
      <c r="M114" s="516"/>
      <c r="N114" s="879"/>
      <c r="O114" s="879"/>
      <c r="P114" s="1773"/>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3"/>
      <c r="Q115" s="439"/>
    </row>
    <row r="116" spans="1:17" ht="15" thickTop="1">
      <c r="A116" s="409"/>
      <c r="B116" s="469" t="s">
        <v>1742</v>
      </c>
      <c r="C116" s="485"/>
      <c r="D116" s="485"/>
      <c r="E116" s="485"/>
      <c r="F116" s="485"/>
      <c r="G116" s="485"/>
      <c r="H116" s="513"/>
      <c r="I116" s="513"/>
      <c r="J116" s="513"/>
      <c r="K116" s="514"/>
      <c r="L116" s="515"/>
      <c r="M116" s="516"/>
      <c r="N116" s="879"/>
      <c r="O116" s="879"/>
      <c r="P116" s="1773"/>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3"/>
      <c r="Q117" s="439"/>
    </row>
    <row r="118" spans="1:17" ht="15" thickTop="1">
      <c r="A118" s="409"/>
      <c r="B118" s="469" t="s">
        <v>1743</v>
      </c>
      <c r="C118" s="513"/>
      <c r="D118" s="513"/>
      <c r="E118" s="513"/>
      <c r="F118" s="513"/>
      <c r="G118" s="513"/>
      <c r="H118" s="513"/>
      <c r="I118" s="513"/>
      <c r="J118" s="513"/>
      <c r="K118" s="514"/>
      <c r="L118" s="515"/>
      <c r="M118" s="516"/>
      <c r="N118" s="879"/>
      <c r="O118" s="879"/>
      <c r="P118" s="1773"/>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3"/>
      <c r="Q119" s="439"/>
    </row>
    <row r="120" spans="1:17" s="408" customFormat="1" ht="28.5" thickTop="1">
      <c r="A120" s="406"/>
      <c r="B120" s="469" t="s">
        <v>1705</v>
      </c>
      <c r="C120" s="485"/>
      <c r="D120" s="485"/>
      <c r="E120" s="485"/>
      <c r="F120" s="485"/>
      <c r="G120" s="485"/>
      <c r="H120" s="485"/>
      <c r="I120" s="485"/>
      <c r="J120" s="485"/>
      <c r="K120" s="485"/>
      <c r="L120" s="510"/>
      <c r="M120" s="511"/>
      <c r="N120" s="881"/>
      <c r="O120" s="881"/>
      <c r="P120" s="1774"/>
      <c r="Q120" s="490"/>
    </row>
    <row r="121" spans="1:17" s="408" customFormat="1" ht="15.75" thickBot="1">
      <c r="A121" s="484"/>
      <c r="B121" s="466"/>
      <c r="C121" s="491"/>
      <c r="D121" s="467"/>
      <c r="E121" s="467"/>
      <c r="F121" s="467"/>
      <c r="G121" s="467"/>
      <c r="H121" s="467"/>
      <c r="I121" s="467"/>
      <c r="J121" s="467"/>
      <c r="K121" s="467"/>
      <c r="L121" s="467"/>
      <c r="M121" s="467"/>
      <c r="N121" s="881"/>
      <c r="O121" s="881"/>
      <c r="P121" s="1774"/>
      <c r="Q121" s="490"/>
    </row>
    <row r="122" spans="1:17" ht="15" thickTop="1">
      <c r="A122" s="409"/>
      <c r="B122" s="469" t="s">
        <v>1744</v>
      </c>
      <c r="C122" s="3174" t="s">
        <v>3496</v>
      </c>
      <c r="D122" s="3174" t="s">
        <v>3421</v>
      </c>
      <c r="E122" s="485"/>
      <c r="F122" s="513"/>
      <c r="G122" s="513"/>
      <c r="H122" s="513"/>
      <c r="I122" s="513"/>
      <c r="J122" s="513"/>
      <c r="K122" s="514"/>
      <c r="L122" s="515"/>
      <c r="M122" s="516"/>
      <c r="N122" s="879"/>
      <c r="O122" s="879"/>
      <c r="P122" s="1773"/>
      <c r="Q122" s="439"/>
    </row>
    <row r="123" spans="1:17" ht="15.75" thickBot="1">
      <c r="A123" s="367"/>
      <c r="B123" s="474"/>
      <c r="C123" s="475">
        <v>100</v>
      </c>
      <c r="D123" s="475">
        <f t="shared" ref="D123:M123" si="32">C123-$K42</f>
        <v>99</v>
      </c>
      <c r="E123" s="475">
        <f t="shared" si="32"/>
        <v>98</v>
      </c>
      <c r="F123" s="475">
        <f t="shared" si="32"/>
        <v>97</v>
      </c>
      <c r="G123" s="475">
        <f t="shared" si="32"/>
        <v>96</v>
      </c>
      <c r="H123" s="475">
        <f t="shared" si="32"/>
        <v>95</v>
      </c>
      <c r="I123" s="475">
        <f t="shared" si="32"/>
        <v>94</v>
      </c>
      <c r="J123" s="475">
        <f t="shared" si="32"/>
        <v>93</v>
      </c>
      <c r="K123" s="475">
        <f t="shared" si="32"/>
        <v>92</v>
      </c>
      <c r="L123" s="475">
        <f t="shared" si="32"/>
        <v>91</v>
      </c>
      <c r="M123" s="475">
        <f t="shared" si="32"/>
        <v>90</v>
      </c>
      <c r="N123" s="880"/>
      <c r="O123" s="880"/>
      <c r="P123" s="1773"/>
      <c r="Q123" s="439"/>
    </row>
    <row r="124" spans="1:17" ht="1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4"/>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3"/>
      <c r="Q125" s="439"/>
    </row>
    <row r="126" spans="1:17" s="408" customFormat="1" ht="15" thickTop="1">
      <c r="A126" s="406"/>
      <c r="B126" s="469">
        <f>B44</f>
        <v>111</v>
      </c>
      <c r="C126" s="485"/>
      <c r="D126" s="485"/>
      <c r="E126" s="485"/>
      <c r="F126" s="485"/>
      <c r="G126" s="485"/>
      <c r="H126" s="486"/>
      <c r="I126" s="486"/>
      <c r="J126" s="486"/>
      <c r="K126" s="486"/>
      <c r="L126" s="487"/>
      <c r="M126" s="488"/>
      <c r="N126" s="881"/>
      <c r="O126" s="881"/>
      <c r="P126" s="1774"/>
      <c r="Q126" s="490"/>
    </row>
    <row r="127" spans="1:17" s="408" customFormat="1" ht="15.75" thickBot="1">
      <c r="A127" s="484"/>
      <c r="B127" s="474"/>
      <c r="C127" s="491"/>
      <c r="D127" s="467"/>
      <c r="E127" s="467"/>
      <c r="F127" s="467"/>
      <c r="G127" s="491"/>
      <c r="H127" s="493"/>
      <c r="I127" s="493"/>
      <c r="J127" s="493"/>
      <c r="K127" s="493"/>
      <c r="L127" s="493"/>
      <c r="M127" s="494"/>
      <c r="N127" s="881"/>
      <c r="O127" s="881"/>
      <c r="P127" s="1774"/>
      <c r="Q127" s="490"/>
    </row>
    <row r="128" spans="1:17" ht="15" thickTop="1">
      <c r="A128" s="409"/>
      <c r="B128" s="469">
        <f>B45</f>
        <v>111</v>
      </c>
      <c r="C128" s="485"/>
      <c r="D128" s="485"/>
      <c r="E128" s="485"/>
      <c r="F128" s="485"/>
      <c r="G128" s="513"/>
      <c r="H128" s="513"/>
      <c r="I128" s="513"/>
      <c r="J128" s="513"/>
      <c r="K128" s="514"/>
      <c r="L128" s="515"/>
      <c r="M128" s="516"/>
      <c r="N128" s="879"/>
      <c r="O128" s="879"/>
      <c r="P128" s="1773"/>
      <c r="Q128" s="439"/>
    </row>
    <row r="129" spans="1:17" ht="15.75" thickBot="1">
      <c r="A129" s="367"/>
      <c r="B129" s="474"/>
      <c r="C129" s="491"/>
      <c r="D129" s="491"/>
      <c r="E129" s="491"/>
      <c r="F129" s="491"/>
      <c r="G129" s="467"/>
      <c r="H129" s="467"/>
      <c r="I129" s="467"/>
      <c r="J129" s="467"/>
      <c r="K129" s="467"/>
      <c r="L129" s="467"/>
      <c r="M129" s="468"/>
      <c r="N129" s="880"/>
      <c r="O129" s="880"/>
      <c r="P129" s="1773"/>
      <c r="Q129" s="439"/>
    </row>
    <row r="130" spans="1:17" ht="15" thickTop="1">
      <c r="A130" s="409"/>
      <c r="B130" s="477">
        <f>B46</f>
        <v>111</v>
      </c>
      <c r="C130" s="485"/>
      <c r="D130" s="485"/>
      <c r="E130" s="485"/>
      <c r="F130" s="485"/>
      <c r="G130" s="517"/>
      <c r="H130" s="517"/>
      <c r="I130" s="517"/>
      <c r="J130" s="517"/>
      <c r="K130" s="31"/>
      <c r="L130" s="457"/>
      <c r="M130" s="520"/>
      <c r="N130" s="879"/>
      <c r="O130" s="879"/>
      <c r="P130" s="1773"/>
      <c r="Q130" s="439"/>
    </row>
    <row r="131" spans="1:17" ht="15.75" thickBot="1">
      <c r="A131" s="375"/>
      <c r="B131" s="500"/>
      <c r="C131" s="501"/>
      <c r="D131" s="501"/>
      <c r="E131" s="501"/>
      <c r="F131" s="501"/>
      <c r="G131" s="521"/>
      <c r="H131" s="521"/>
      <c r="I131" s="521"/>
      <c r="J131" s="521"/>
      <c r="K131" s="521"/>
      <c r="L131" s="521"/>
      <c r="M131" s="522"/>
      <c r="N131" s="880"/>
      <c r="O131" s="880"/>
      <c r="P131" s="1773"/>
      <c r="Q131" s="439"/>
    </row>
    <row r="136" spans="1:17" ht="15" thickBot="1">
      <c r="B136" s="1779" t="s">
        <v>1746</v>
      </c>
    </row>
    <row r="137" spans="1:17" ht="15">
      <c r="B137" s="1780" t="s">
        <v>1747</v>
      </c>
      <c r="C137" s="1781"/>
      <c r="D137" s="1781"/>
      <c r="E137" s="1781"/>
      <c r="F137" s="1781"/>
      <c r="G137" s="1782"/>
      <c r="H137" s="1783"/>
      <c r="I137" s="1784" t="s">
        <v>1748</v>
      </c>
      <c r="J137" s="1781"/>
      <c r="K137" s="1785"/>
    </row>
    <row r="138" spans="1:17" ht="15">
      <c r="B138" s="1786"/>
      <c r="C138" s="129" t="s">
        <v>1749</v>
      </c>
      <c r="D138" s="129" t="s">
        <v>1750</v>
      </c>
      <c r="E138" s="1787" t="s">
        <v>1751</v>
      </c>
      <c r="F138" s="1788" t="s">
        <v>1752</v>
      </c>
      <c r="G138" s="129" t="s">
        <v>1750</v>
      </c>
      <c r="H138" s="130" t="s">
        <v>1751</v>
      </c>
      <c r="I138" s="1789"/>
      <c r="J138" s="129" t="s">
        <v>1753</v>
      </c>
      <c r="K138" s="130" t="s">
        <v>1754</v>
      </c>
    </row>
    <row r="139" spans="1:17" ht="15">
      <c r="B139" s="814">
        <v>6</v>
      </c>
      <c r="C139" s="815">
        <v>96</v>
      </c>
      <c r="D139" s="1790" t="s">
        <v>1755</v>
      </c>
      <c r="E139" s="816">
        <v>100</v>
      </c>
      <c r="F139" s="817">
        <v>102.5</v>
      </c>
      <c r="G139" s="1790" t="s">
        <v>1755</v>
      </c>
      <c r="H139" s="818">
        <v>105</v>
      </c>
      <c r="I139" s="1791" t="s">
        <v>1756</v>
      </c>
      <c r="J139" s="815">
        <v>20</v>
      </c>
      <c r="K139" s="819">
        <f>C145/(J139-2)</f>
        <v>4.0555555555555553E-3</v>
      </c>
    </row>
    <row r="140" spans="1:17" ht="15">
      <c r="B140" s="820">
        <v>5</v>
      </c>
      <c r="C140" s="821">
        <v>100</v>
      </c>
      <c r="D140" s="821"/>
      <c r="E140" s="822"/>
      <c r="F140" s="823">
        <v>102</v>
      </c>
      <c r="G140" s="821"/>
      <c r="H140" s="824"/>
      <c r="I140" s="1792" t="s">
        <v>1757</v>
      </c>
      <c r="J140" s="263">
        <f>ROUNDUP((J139-1)/2,0)</f>
        <v>10</v>
      </c>
      <c r="K140" s="825">
        <v>100</v>
      </c>
    </row>
    <row r="141" spans="1:17" ht="15">
      <c r="B141" s="820">
        <v>4</v>
      </c>
      <c r="C141" s="821">
        <v>102</v>
      </c>
      <c r="D141" s="821"/>
      <c r="E141" s="822"/>
      <c r="F141" s="823">
        <v>101.5</v>
      </c>
      <c r="G141" s="821"/>
      <c r="H141" s="824"/>
      <c r="I141" s="1792" t="s">
        <v>1758</v>
      </c>
      <c r="J141" s="263">
        <v>1</v>
      </c>
      <c r="K141" s="826">
        <f>ROUND(100+(J141-J140)*K139*100,1)</f>
        <v>96.4</v>
      </c>
    </row>
    <row r="142" spans="1:17" ht="15">
      <c r="B142" s="820">
        <v>3</v>
      </c>
      <c r="C142" s="821">
        <v>103</v>
      </c>
      <c r="D142" s="821"/>
      <c r="E142" s="822"/>
      <c r="F142" s="823">
        <v>101</v>
      </c>
      <c r="G142" s="821"/>
      <c r="H142" s="824"/>
      <c r="I142" s="1792" t="s">
        <v>1759</v>
      </c>
      <c r="J142" s="263">
        <f>J139</f>
        <v>20</v>
      </c>
      <c r="K142" s="827">
        <v>95</v>
      </c>
    </row>
    <row r="143" spans="1:17" ht="15">
      <c r="B143" s="820">
        <v>2</v>
      </c>
      <c r="C143" s="821">
        <v>100</v>
      </c>
      <c r="D143" s="821"/>
      <c r="E143" s="822"/>
      <c r="F143" s="823">
        <v>100.5</v>
      </c>
      <c r="G143" s="821"/>
      <c r="H143" s="824"/>
      <c r="I143" s="1792" t="s">
        <v>1760</v>
      </c>
      <c r="J143" s="821">
        <v>15</v>
      </c>
      <c r="K143" s="826">
        <f>ROUND(100+(J143-J140)*K139*100,1)</f>
        <v>102</v>
      </c>
    </row>
    <row r="144" spans="1:17" ht="15">
      <c r="B144" s="820">
        <v>1</v>
      </c>
      <c r="C144" s="821">
        <v>98</v>
      </c>
      <c r="D144" s="1793" t="s">
        <v>1761</v>
      </c>
      <c r="E144" s="822">
        <v>102</v>
      </c>
      <c r="F144" s="828">
        <v>100</v>
      </c>
      <c r="G144" s="1793" t="s">
        <v>1761</v>
      </c>
      <c r="H144" s="824">
        <v>105</v>
      </c>
      <c r="I144" s="1792" t="s">
        <v>1760</v>
      </c>
      <c r="J144" s="821">
        <v>18</v>
      </c>
      <c r="K144" s="826">
        <f>ROUND(100+(J144-J140)*K139*100,1)</f>
        <v>103.2</v>
      </c>
    </row>
    <row r="145" spans="2:11" ht="15.75" thickBot="1">
      <c r="B145" s="1794" t="s">
        <v>1762</v>
      </c>
      <c r="C145" s="829">
        <f>ROUND(MAX(C139:C144)/MIN(C139:C144)-1,3)</f>
        <v>7.2999999999999995E-2</v>
      </c>
      <c r="D145" s="830"/>
      <c r="E145" s="830"/>
      <c r="F145" s="1795" t="s">
        <v>1763</v>
      </c>
      <c r="G145" s="1796"/>
      <c r="H145" s="1797"/>
      <c r="I145" s="1798" t="s">
        <v>1760</v>
      </c>
      <c r="J145" s="831">
        <v>8</v>
      </c>
      <c r="K145" s="832">
        <f>ROUND(100+(J145-J140)*K139*100,1)</f>
        <v>99.2</v>
      </c>
    </row>
    <row r="147" spans="2:11">
      <c r="B147" s="1779" t="s">
        <v>1764</v>
      </c>
    </row>
    <row r="148" spans="2:11">
      <c r="B148" s="1779" t="s">
        <v>1765</v>
      </c>
    </row>
  </sheetData>
  <sheetProtection password="CEE9"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E52">
    <cfRule type="expression" dxfId="19" priority="13" stopIfTrue="1">
      <formula>$F$52="超过30%"</formula>
    </cfRule>
  </conditionalFormatting>
  <conditionalFormatting sqref="E53">
    <cfRule type="expression" dxfId="18" priority="11" stopIfTrue="1">
      <formula>$F$53="超过20%"</formula>
    </cfRule>
  </conditionalFormatting>
  <conditionalFormatting sqref="E54">
    <cfRule type="expression" dxfId="17" priority="10" stopIfTrue="1">
      <formula>$F$54="超过30%"</formula>
    </cfRule>
  </conditionalFormatting>
  <conditionalFormatting sqref="F7:F46 H7:H46 J7:J46">
    <cfRule type="cellIs" dxfId="16" priority="1" operator="notEqual">
      <formula>100</formula>
    </cfRule>
  </conditionalFormatting>
  <conditionalFormatting sqref="F48">
    <cfRule type="expression" dxfId="15" priority="4">
      <formula>$D$48="简单平均"</formula>
    </cfRule>
  </conditionalFormatting>
  <conditionalFormatting sqref="F52:F54 H52:H54 J52:J54">
    <cfRule type="containsText" dxfId="14" priority="14" stopIfTrue="1" operator="containsText" text="超过">
      <formula>NOT(ISERROR(SEARCH("超过",F52)))</formula>
    </cfRule>
  </conditionalFormatting>
  <conditionalFormatting sqref="G52">
    <cfRule type="expression" dxfId="13" priority="9" stopIfTrue="1">
      <formula>$H$52="超过30%"</formula>
    </cfRule>
  </conditionalFormatting>
  <conditionalFormatting sqref="G53">
    <cfRule type="expression" dxfId="12" priority="8" stopIfTrue="1">
      <formula>$H$53="超过20%"</formula>
    </cfRule>
  </conditionalFormatting>
  <conditionalFormatting sqref="G54">
    <cfRule type="expression" dxfId="11" priority="12" stopIfTrue="1">
      <formula>$H$54="超过30%"</formula>
    </cfRule>
  </conditionalFormatting>
  <conditionalFormatting sqref="H48">
    <cfRule type="expression" dxfId="10" priority="3">
      <formula>$D$48="简单平均"</formula>
    </cfRule>
  </conditionalFormatting>
  <conditionalFormatting sqref="I52">
    <cfRule type="expression" dxfId="9" priority="7" stopIfTrue="1">
      <formula>$J$52="超过30%"</formula>
    </cfRule>
  </conditionalFormatting>
  <conditionalFormatting sqref="I53">
    <cfRule type="expression" dxfId="8" priority="6" stopIfTrue="1">
      <formula>$J$53="超过20%"</formula>
    </cfRule>
  </conditionalFormatting>
  <conditionalFormatting sqref="I54">
    <cfRule type="expression" dxfId="7" priority="5" stopIfTrue="1">
      <formula>$J$54="超过30%"</formula>
    </cfRule>
  </conditionalFormatting>
  <conditionalFormatting sqref="J48">
    <cfRule type="expression" dxfId="6" priority="2">
      <formula>$D$48="简单平均"</formula>
    </cfRule>
  </conditionalFormatting>
  <dataValidations count="24">
    <dataValidation type="list" allowBlank="1" showInputMessage="1" showErrorMessage="1" sqref="E1" xr:uid="{CF2FCDDE-AB22-427E-B198-4E6547F55CA9}">
      <formula1>"项目模式,单套模式"</formula1>
    </dataValidation>
    <dataValidation type="list" allowBlank="1" showInputMessage="1" showErrorMessage="1" sqref="D48" xr:uid="{24262B1F-CD8A-4F83-900E-CC47819C55E5}">
      <formula1>"简单平均,加权平均"</formula1>
    </dataValidation>
    <dataValidation type="list" allowBlank="1" showInputMessage="1" showErrorMessage="1" sqref="F2" xr:uid="{3AA5F32A-2F13-4E59-B126-941EAC253C7F}">
      <formula1>估价方法</formula1>
    </dataValidation>
    <dataValidation type="list" allowBlank="1" showInputMessage="1" showErrorMessage="1" sqref="C2" xr:uid="{A7CB1964-13B7-4DD2-8082-DEB618F02A38}">
      <formula1>"需扣减承租人权益,——"</formula1>
    </dataValidation>
    <dataValidation type="list" allowBlank="1" showInputMessage="1" showErrorMessage="1" sqref="F1" xr:uid="{78217E37-146A-4F32-B22B-59D889CBE557}">
      <formula1>"售价,租金"</formula1>
    </dataValidation>
    <dataValidation type="list" allowBlank="1" showInputMessage="1" showErrorMessage="1" sqref="C22 E22 G22 I22" xr:uid="{36A30B13-16C0-4A67-913F-73326B2E31A5}">
      <formula1>基础设施水平</formula1>
    </dataValidation>
    <dataValidation type="list" allowBlank="1" showInputMessage="1" showErrorMessage="1" sqref="E9 G9 I9" xr:uid="{08D0CAD4-2D68-48AD-8B03-2653687BC9D1}">
      <formula1>住宅用途</formula1>
    </dataValidation>
    <dataValidation type="list" allowBlank="1" showInputMessage="1" showErrorMessage="1" sqref="D1" xr:uid="{9BA7BCC3-542C-4AA2-BB1F-D68F78274A91}">
      <formula1>项目类型</formula1>
    </dataValidation>
    <dataValidation type="list" allowBlank="1" showInputMessage="1" showErrorMessage="1" sqref="E8 G8 I8 C8" xr:uid="{5FE6F9AC-49F7-4B80-A148-04D0DC709ED5}">
      <formula1>住宅交易情况</formula1>
    </dataValidation>
    <dataValidation type="list" allowBlank="1" showInputMessage="1" showErrorMessage="1" sqref="E43 G43 I43 C43" xr:uid="{AAF66F2C-C152-48E5-8CE6-3F3A07172E45}">
      <formula1>内部装修维护情况</formula1>
    </dataValidation>
    <dataValidation type="list" allowBlank="1" showInputMessage="1" showErrorMessage="1" sqref="E42 G42 I42 C42" xr:uid="{89EEA949-C325-4D1A-BEB3-28E745EB158C}">
      <formula1>住宅内部装修</formula1>
    </dataValidation>
    <dataValidation type="list" allowBlank="1" showInputMessage="1" showErrorMessage="1" sqref="E40 G40 I40 C40" xr:uid="{85D33EF8-917B-427C-9DB0-5F0426218975}">
      <formula1>住宅房型</formula1>
    </dataValidation>
    <dataValidation type="list" allowBlank="1" showInputMessage="1" showErrorMessage="1" sqref="E39 G39 I39 C39" xr:uid="{3C541FC6-1B17-421F-95DC-6287BB71D075}">
      <formula1>住宅基础设施水平</formula1>
    </dataValidation>
    <dataValidation type="list" allowBlank="1" showInputMessage="1" showErrorMessage="1" sqref="E38 G38 I38 C38" xr:uid="{0EBA2853-C080-44E1-B71A-4A9AB765BF95}">
      <formula1>住宅物业管理</formula1>
    </dataValidation>
    <dataValidation type="list" allowBlank="1" showInputMessage="1" showErrorMessage="1" sqref="E36 G36 I36 C36" xr:uid="{F9247626-541D-404B-8A70-7E7928E4429A}">
      <formula1>住宅公共部分装修</formula1>
    </dataValidation>
    <dataValidation type="list" allowBlank="1" showInputMessage="1" showErrorMessage="1" sqref="E35 G35 I35 C35" xr:uid="{09361531-29AC-4BAA-AA0F-5ADD1D0FE5B4}">
      <formula1>住宅建筑品质</formula1>
    </dataValidation>
    <dataValidation type="list" allowBlank="1" showInputMessage="1" showErrorMessage="1" sqref="E34 G34 I34 C34" xr:uid="{CB6DEE37-E953-4E32-BF02-273A8EE2B85F}">
      <formula1>住宅建筑结构</formula1>
    </dataValidation>
    <dataValidation type="list" allowBlank="1" showInputMessage="1" showErrorMessage="1" sqref="E32 G32 I32 C32" xr:uid="{5F31F2E6-F4C8-44DE-82F5-A8776BC2C174}">
      <formula1>住宅建筑类型</formula1>
    </dataValidation>
    <dataValidation type="list" allowBlank="1" showInputMessage="1" showErrorMessage="1" sqref="E26 G26 I26 C26" xr:uid="{FE41F579-1EFB-4E8A-AEB3-F236106A0F69}">
      <formula1>住宅朝向</formula1>
    </dataValidation>
    <dataValidation type="list" allowBlank="1" showInputMessage="1" showErrorMessage="1" sqref="E25 G25 I25 C25" xr:uid="{E556A966-4784-47C3-9B3E-FB7CFA41FBB5}">
      <formula1>住宅楼层</formula1>
    </dataValidation>
    <dataValidation type="list" allowBlank="1" showInputMessage="1" showErrorMessage="1" sqref="C20 G20 E20 I20" xr:uid="{D1D1E985-18C9-45A8-A8DB-DE55A3A0C073}">
      <formula1>公共配套设施</formula1>
    </dataValidation>
    <dataValidation type="list" allowBlank="1" showInputMessage="1" showErrorMessage="1" sqref="E18 G18 I18 C18" xr:uid="{5043733E-1FBF-4D66-A05A-FF74765A4FB8}">
      <formula1>交通便捷度</formula1>
    </dataValidation>
    <dataValidation type="list" allowBlank="1" showInputMessage="1" showErrorMessage="1" sqref="E16 G16 I16 C16" xr:uid="{D12F1E7F-038E-455A-AD17-33C6782266CF}">
      <formula1>居住社区成熟度</formula1>
    </dataValidation>
    <dataValidation type="list" allowBlank="1" showInputMessage="1" showErrorMessage="1" sqref="E24 G24 I24 C24" xr:uid="{A530D5DA-EFE8-4718-B2CB-7D88453F7299}">
      <formula1>环境</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130" zoomScaleNormal="70" zoomScaleSheetLayoutView="130" workbookViewId="0">
      <selection activeCell="K39" sqref="K3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4"/>
      <c r="C1" s="1717" t="s">
        <v>1563</v>
      </c>
      <c r="D1" s="190"/>
      <c r="E1" s="190"/>
      <c r="F1" s="190"/>
      <c r="G1" s="1062">
        <f>MATCH(B1,'数据-取费表'!A6:A16,0)+5</f>
        <v>7</v>
      </c>
      <c r="H1" s="998" t="str">
        <f>IF(ISERROR(FIND("住宅",B1)),"非住宅","住宅")</f>
        <v>非住宅</v>
      </c>
    </row>
    <row r="2" spans="1:8" s="192" customFormat="1" ht="18" customHeight="1">
      <c r="A2" s="193" t="s">
        <v>1462</v>
      </c>
      <c r="B2" s="3121">
        <f ca="1">ROUND(IF(D2="——",C52/10000,C52/10000-E2),4)</f>
        <v>58.085999999999999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17742</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C6+C7+C8</f>
        <v>350982.22000000003</v>
      </c>
      <c r="D5" s="203" t="s">
        <v>1469</v>
      </c>
      <c r="E5" s="204" t="s">
        <v>1470</v>
      </c>
      <c r="F5" s="204" t="s">
        <v>1471</v>
      </c>
      <c r="G5" s="205"/>
    </row>
    <row r="6" spans="1:8" s="206" customFormat="1" ht="13.5" customHeight="1">
      <c r="A6" s="732" t="s">
        <v>1472</v>
      </c>
      <c r="B6" s="207" t="s">
        <v>1473</v>
      </c>
      <c r="C6" s="208">
        <f>基准地价修正!C33*基准地价修正!D33</f>
        <v>340594.22000000003</v>
      </c>
      <c r="D6" s="209"/>
      <c r="E6" s="210"/>
      <c r="F6" s="210"/>
      <c r="G6" s="211"/>
    </row>
    <row r="7" spans="1:8" s="206" customFormat="1" ht="13.5" customHeight="1">
      <c r="A7" s="732" t="s">
        <v>1474</v>
      </c>
      <c r="B7" s="207" t="s">
        <v>1475</v>
      </c>
      <c r="C7" s="212">
        <f>ROUND(C6*F7,0)</f>
        <v>10388</v>
      </c>
      <c r="D7" s="212"/>
      <c r="E7" s="210"/>
      <c r="F7" s="213">
        <f>IF(项目基本情况!B8="出让",0,'数据-取费表'!B48+'数据-取费表'!B49)</f>
        <v>3.0499999999999999E-2</v>
      </c>
      <c r="G7" s="211"/>
    </row>
    <row r="8" spans="1:8" s="215" customFormat="1">
      <c r="A8" s="732" t="s">
        <v>1476</v>
      </c>
      <c r="B8" s="207" t="s">
        <v>1477</v>
      </c>
      <c r="C8" s="212">
        <f>IF(G8="已包含在土地购买价格中",0,C9+C10)</f>
        <v>0</v>
      </c>
      <c r="D8" s="214"/>
      <c r="E8" s="212"/>
      <c r="F8" s="213"/>
      <c r="G8" s="1714" t="s">
        <v>451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6548</v>
      </c>
      <c r="D10" s="795">
        <f ca="1">IF(B1="",'数据-汇总表'!E6,IF(INDIRECT("'数据-取费表'!c"&amp;$G$1)="住宅",INDIRECT("'数据-取费表'!s"&amp;$G$1),INDIRECT("'数据-取费表'!k"&amp;$G$1)+INDIRECT("'数据-取费表'!s"&amp;$G$1)))</f>
        <v>32.74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6548</v>
      </c>
      <c r="D19" s="204">
        <f ca="1">D9+D10</f>
        <v>32.74</v>
      </c>
      <c r="E19" s="203">
        <f>'数据-取费表'!B31</f>
        <v>200</v>
      </c>
      <c r="F19" s="223"/>
      <c r="G19" s="1714" t="s">
        <v>436</v>
      </c>
    </row>
    <row r="20" spans="1:7" s="206" customFormat="1" ht="13.5" customHeight="1">
      <c r="A20" s="247" t="s">
        <v>1574</v>
      </c>
      <c r="B20" s="202" t="s">
        <v>1575</v>
      </c>
      <c r="C20" s="224">
        <f ca="1">ROUND((C5+C19)*F20,0)</f>
        <v>7151</v>
      </c>
      <c r="D20" s="224"/>
      <c r="E20" s="224"/>
      <c r="F20" s="225">
        <f>'数据-取费表'!B37</f>
        <v>0.02</v>
      </c>
      <c r="G20" s="226" t="s">
        <v>1576</v>
      </c>
    </row>
    <row r="21" spans="1:7" s="206" customFormat="1" ht="13.5" customHeight="1">
      <c r="A21" s="247" t="s">
        <v>1577</v>
      </c>
      <c r="B21" s="202" t="s">
        <v>1578</v>
      </c>
      <c r="C21" s="227">
        <f>F21</f>
        <v>0.01</v>
      </c>
      <c r="D21" s="228" t="s">
        <v>1579</v>
      </c>
      <c r="E21" s="224"/>
      <c r="F21" s="225">
        <f>'数据-取费表'!B38</f>
        <v>0.01</v>
      </c>
      <c r="G21" s="226" t="s">
        <v>1580</v>
      </c>
    </row>
    <row r="22" spans="1:7" s="206" customFormat="1" ht="13.5" customHeight="1">
      <c r="A22" s="247" t="s">
        <v>1581</v>
      </c>
      <c r="B22" s="202" t="s">
        <v>1582</v>
      </c>
      <c r="C22" s="224">
        <f ca="1">ROUND(SUM(C23:C25),0)</f>
        <v>22955</v>
      </c>
      <c r="D22" s="227">
        <f ca="1">C26</f>
        <v>2.9999999999999997E-4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22315</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416</v>
      </c>
      <c r="D24" s="230"/>
      <c r="E24" s="230"/>
      <c r="F24" s="231"/>
      <c r="G24" s="232" t="s">
        <v>1586</v>
      </c>
    </row>
    <row r="25" spans="1:7" s="206" customFormat="1" ht="24">
      <c r="A25" s="734" t="s">
        <v>1476</v>
      </c>
      <c r="B25" s="207" t="s">
        <v>1587</v>
      </c>
      <c r="C25" s="230">
        <f ca="1">ROUND(IF('数据-取费表'!B22&lt;=1,C20*F22*'数据-取费表'!B22/2,C20*(POWER((1+F22),'数据-取费表'!B22/2)-1)),0)</f>
        <v>224</v>
      </c>
      <c r="D25" s="230"/>
      <c r="E25" s="233"/>
      <c r="F25" s="231"/>
      <c r="G25" s="234" t="s">
        <v>1588</v>
      </c>
    </row>
    <row r="26" spans="1:7" s="206" customFormat="1">
      <c r="A26" s="734" t="s">
        <v>350</v>
      </c>
      <c r="B26" s="207" t="s">
        <v>1511</v>
      </c>
      <c r="C26" s="230">
        <f ca="1">ROUND(IF('数据-取费表'!B22&lt;=1,F21*F22*'数据-取费表'!B22/2,F21*(POWER((1+F22),'数据-取费表'!B22/2)-1)),4)</f>
        <v>2.9999999999999997E-4</v>
      </c>
      <c r="D26" s="230"/>
      <c r="E26" s="233"/>
      <c r="F26" s="231"/>
      <c r="G26" s="235"/>
    </row>
    <row r="27" spans="1:7" s="206" customFormat="1" ht="24.75">
      <c r="A27" s="247" t="s">
        <v>1512</v>
      </c>
      <c r="B27" s="236" t="s">
        <v>1513</v>
      </c>
      <c r="C27" s="237">
        <f ca="1">C28</f>
        <v>36468</v>
      </c>
      <c r="D27" s="227">
        <f ca="1">C29</f>
        <v>1E-3</v>
      </c>
      <c r="E27" s="228" t="s">
        <v>1514</v>
      </c>
      <c r="F27" s="238">
        <f ca="1">IF(B1="",'数据-取费表'!Q16,INDIRECT("'数据-取费表'!q"&amp;$G$1))</f>
        <v>0.1</v>
      </c>
      <c r="G27" s="239" t="s">
        <v>1515</v>
      </c>
    </row>
    <row r="28" spans="1:7" s="206" customFormat="1" ht="13.5" customHeight="1">
      <c r="A28" s="734" t="s">
        <v>346</v>
      </c>
      <c r="B28" s="240" t="s">
        <v>1516</v>
      </c>
      <c r="C28" s="241">
        <f ca="1">ROUND((C5+C19+C20)*F27,0)</f>
        <v>36468</v>
      </c>
      <c r="D28" s="227"/>
      <c r="E28" s="228"/>
      <c r="F28" s="238"/>
      <c r="G28" s="239"/>
    </row>
    <row r="29" spans="1:7" s="206" customFormat="1" ht="13.5" customHeight="1">
      <c r="A29" s="734" t="s">
        <v>347</v>
      </c>
      <c r="B29" s="240" t="s">
        <v>1517</v>
      </c>
      <c r="C29" s="230">
        <f ca="1">ROUND(C21*F27,4)</f>
        <v>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453393</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129160</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114590</v>
      </c>
      <c r="D34" s="209"/>
      <c r="E34" s="212"/>
      <c r="F34" s="249"/>
      <c r="G34" s="211"/>
    </row>
    <row r="35" spans="1:7" ht="13.5" customHeight="1">
      <c r="A35" s="734" t="s">
        <v>351</v>
      </c>
      <c r="B35" s="207" t="s">
        <v>1527</v>
      </c>
      <c r="C35" s="212">
        <f ca="1">ROUND(C34*F35,0)</f>
        <v>5730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6548</v>
      </c>
      <c r="D37" s="209">
        <f ca="1">D19</f>
        <v>32.74</v>
      </c>
      <c r="E37" s="241">
        <f>'数据-取费表'!B35</f>
        <v>200</v>
      </c>
      <c r="F37" s="251"/>
      <c r="G37" s="253"/>
    </row>
    <row r="38" spans="1:7" ht="13.5" customHeight="1">
      <c r="A38" s="734" t="s">
        <v>354</v>
      </c>
      <c r="B38" s="207" t="s">
        <v>1533</v>
      </c>
      <c r="C38" s="212">
        <f ca="1">ROUND(C34*F38,0)</f>
        <v>2292</v>
      </c>
      <c r="D38" s="212"/>
      <c r="E38" s="212"/>
      <c r="F38" s="251">
        <f>'数据-取费表'!B36</f>
        <v>0.02</v>
      </c>
      <c r="G38" s="211" t="s">
        <v>1528</v>
      </c>
    </row>
    <row r="39" spans="1:7" s="206" customFormat="1" ht="13.5" customHeight="1">
      <c r="A39" s="247" t="s">
        <v>1534</v>
      </c>
      <c r="B39" s="202" t="s">
        <v>1535</v>
      </c>
      <c r="C39" s="224">
        <f ca="1">ROUND(C33*F20,0)</f>
        <v>2583</v>
      </c>
      <c r="D39" s="224"/>
      <c r="E39" s="224"/>
      <c r="F39" s="225">
        <f>F20</f>
        <v>0.02</v>
      </c>
      <c r="G39" s="226" t="s">
        <v>1536</v>
      </c>
    </row>
    <row r="40" spans="1:7" s="206" customFormat="1" ht="13.5" customHeight="1">
      <c r="A40" s="247" t="s">
        <v>1537</v>
      </c>
      <c r="B40" s="202" t="s">
        <v>1538</v>
      </c>
      <c r="C40" s="227">
        <f>F21</f>
        <v>0.01</v>
      </c>
      <c r="D40" s="228" t="s">
        <v>1539</v>
      </c>
      <c r="E40" s="224"/>
      <c r="F40" s="225">
        <f>F21</f>
        <v>0.01</v>
      </c>
      <c r="G40" s="226" t="s">
        <v>1540</v>
      </c>
    </row>
    <row r="41" spans="1:7" s="206" customFormat="1" ht="13.5" customHeight="1">
      <c r="A41" s="247" t="s">
        <v>1541</v>
      </c>
      <c r="B41" s="202" t="s">
        <v>1542</v>
      </c>
      <c r="C41" s="224">
        <f ca="1">ROUND(SUM(C42:C43),0)</f>
        <v>4124</v>
      </c>
      <c r="D41" s="227">
        <f ca="1">C44</f>
        <v>2.9999999999999997E-4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4043</v>
      </c>
      <c r="D42" s="230"/>
      <c r="E42" s="230"/>
      <c r="F42" s="231"/>
      <c r="G42" s="3364" t="s">
        <v>1591</v>
      </c>
    </row>
    <row r="43" spans="1:7" ht="13.5" customHeight="1">
      <c r="A43" s="734" t="s">
        <v>347</v>
      </c>
      <c r="B43" s="207" t="s">
        <v>1545</v>
      </c>
      <c r="C43" s="230">
        <f ca="1">ROUND(IF('数据-取费表'!B22&lt;=1,C39*F22*'数据-取费表'!B20/2,C39*(POWER((1+F22),'数据-取费表'!B20/2)-1)),0)</f>
        <v>81</v>
      </c>
      <c r="D43" s="230"/>
      <c r="E43" s="230"/>
      <c r="F43" s="231"/>
      <c r="G43" s="3365"/>
    </row>
    <row r="44" spans="1:7" ht="13.5" customHeight="1">
      <c r="A44" s="734" t="s">
        <v>348</v>
      </c>
      <c r="B44" s="207" t="s">
        <v>1546</v>
      </c>
      <c r="C44" s="230">
        <f ca="1">ROUND(IF('数据-取费表'!B22&lt;=1,C40*F22*'数据-取费表'!B20/2,C40*(POWER((1+F22),'数据-取费表'!B20/2)-1)),4)</f>
        <v>2.9999999999999997E-4</v>
      </c>
      <c r="D44" s="230"/>
      <c r="E44" s="230"/>
      <c r="F44" s="231"/>
      <c r="G44" s="3366"/>
    </row>
    <row r="45" spans="1:7" s="206" customFormat="1" ht="13.5" customHeight="1">
      <c r="A45" s="247" t="s">
        <v>1547</v>
      </c>
      <c r="B45" s="236" t="s">
        <v>1513</v>
      </c>
      <c r="C45" s="237">
        <f ca="1">C46</f>
        <v>13174</v>
      </c>
      <c r="D45" s="227">
        <f ca="1">C47</f>
        <v>1E-3</v>
      </c>
      <c r="E45" s="228" t="s">
        <v>1539</v>
      </c>
      <c r="F45" s="238">
        <f ca="1">F27</f>
        <v>0.1</v>
      </c>
      <c r="G45" s="239" t="s">
        <v>1548</v>
      </c>
    </row>
    <row r="46" spans="1:7" s="206" customFormat="1" ht="13.5" customHeight="1">
      <c r="A46" s="734" t="s">
        <v>346</v>
      </c>
      <c r="B46" s="240" t="s">
        <v>1549</v>
      </c>
      <c r="C46" s="241">
        <f ca="1">ROUND((C33+C39)*F27,0)</f>
        <v>13174</v>
      </c>
      <c r="D46" s="255"/>
      <c r="E46" s="228"/>
      <c r="F46" s="238"/>
      <c r="G46" s="239"/>
    </row>
    <row r="47" spans="1:7" s="206" customFormat="1" ht="13.5" customHeight="1">
      <c r="A47" s="734" t="s">
        <v>347</v>
      </c>
      <c r="B47" s="240" t="s">
        <v>1550</v>
      </c>
      <c r="C47" s="230">
        <f ca="1">ROUND(C40*F27,4)</f>
        <v>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159334</v>
      </c>
      <c r="D49" s="224"/>
      <c r="E49" s="224"/>
      <c r="F49" s="256"/>
      <c r="G49" s="226" t="s">
        <v>1554</v>
      </c>
    </row>
    <row r="50" spans="1:7" s="250" customFormat="1">
      <c r="A50" s="247" t="s">
        <v>1555</v>
      </c>
      <c r="B50" s="202" t="s">
        <v>1556</v>
      </c>
      <c r="C50" s="224"/>
      <c r="D50" s="224"/>
      <c r="E50" s="224"/>
      <c r="F50" s="256">
        <f>IF('数据-取费表'!B24=0,'数据-取费表'!N16,1)</f>
        <v>0.8</v>
      </c>
      <c r="G50" s="239"/>
    </row>
    <row r="51" spans="1:7" ht="16.5" customHeight="1">
      <c r="A51" s="247" t="s">
        <v>1558</v>
      </c>
      <c r="B51" s="202" t="s">
        <v>1593</v>
      </c>
      <c r="C51" s="224">
        <f ca="1">ROUND(C49*F50,0)</f>
        <v>127467</v>
      </c>
      <c r="D51" s="224"/>
      <c r="E51" s="224"/>
      <c r="F51" s="256"/>
      <c r="G51" s="226" t="s">
        <v>1560</v>
      </c>
    </row>
    <row r="52" spans="1:7" s="200" customFormat="1" ht="16.5" thickBot="1">
      <c r="A52" s="257" t="s">
        <v>1561</v>
      </c>
      <c r="B52" s="258"/>
      <c r="C52" s="259">
        <f ca="1">C31+C51</f>
        <v>580860</v>
      </c>
      <c r="D52" s="258"/>
      <c r="E52" s="258"/>
      <c r="F52" s="258"/>
      <c r="G52" s="260"/>
    </row>
    <row r="55" spans="1:7" ht="15">
      <c r="B55" s="262" t="s">
        <v>1562</v>
      </c>
      <c r="C55" s="263"/>
    </row>
    <row r="56" spans="1:7">
      <c r="B56" s="265" t="s">
        <v>802</v>
      </c>
      <c r="C56" s="267">
        <f ca="1">1-C57</f>
        <v>0.78100000000000003</v>
      </c>
    </row>
    <row r="57" spans="1:7">
      <c r="B57" s="265" t="s">
        <v>803</v>
      </c>
      <c r="C57" s="266">
        <f ca="1">ROUND(C51/C52,3)</f>
        <v>0.219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2" customWidth="1"/>
    <col min="2" max="2" width="12.5" style="642" customWidth="1"/>
    <col min="3" max="3" width="12.125" style="642" customWidth="1"/>
    <col min="4" max="4" width="14.125" style="642" customWidth="1"/>
    <col min="5" max="5" width="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75">
      <c r="A2" s="1982" t="s">
        <v>2073</v>
      </c>
      <c r="B2" s="2386">
        <f ca="1">SUMIF(B6:B13,"&lt;&gt;#ref!",B6:B13)</f>
        <v>34</v>
      </c>
      <c r="C2" s="1982" t="s">
        <v>2074</v>
      </c>
      <c r="D2" s="1982" t="s">
        <v>2075</v>
      </c>
      <c r="E2" s="2396">
        <f ca="1">SUMIF(E6:E13,"&lt;&gt;#ref!",E6:E13)</f>
        <v>32.74</v>
      </c>
      <c r="F2" s="2543"/>
      <c r="G2" s="2543"/>
      <c r="H2" s="2543"/>
      <c r="I2" s="2543"/>
      <c r="J2" s="2543"/>
      <c r="K2" s="2543"/>
      <c r="L2" s="2543"/>
      <c r="M2" s="2543"/>
      <c r="N2" s="2543"/>
      <c r="O2" s="2543"/>
      <c r="P2" s="2543"/>
    </row>
    <row r="3" spans="1:16" ht="15.75">
      <c r="A3" s="1982" t="s">
        <v>2076</v>
      </c>
      <c r="B3" s="2386">
        <f ca="1">ROUND(B2*10000/E2,0)</f>
        <v>10385</v>
      </c>
      <c r="C3" s="1982" t="s">
        <v>2082</v>
      </c>
      <c r="D3" s="2543"/>
      <c r="E3" s="2543"/>
      <c r="F3" s="2543"/>
      <c r="G3" s="2543"/>
      <c r="H3" s="2543"/>
      <c r="I3" s="2543"/>
      <c r="J3" s="2543"/>
      <c r="K3" s="2543"/>
      <c r="L3" s="2543"/>
      <c r="M3" s="2543"/>
      <c r="N3" s="2543"/>
      <c r="O3" s="2543"/>
      <c r="P3" s="2543"/>
    </row>
    <row r="4" spans="1:16" ht="15.75">
      <c r="A4" s="2555"/>
      <c r="B4" s="2543"/>
      <c r="C4" s="2543"/>
      <c r="D4" s="2543"/>
      <c r="E4" s="2543"/>
      <c r="F4" s="2543"/>
      <c r="G4" s="2543"/>
      <c r="H4" s="2543"/>
      <c r="I4" s="2543"/>
      <c r="J4" s="2543"/>
      <c r="K4" s="2543"/>
      <c r="L4" s="2543"/>
      <c r="M4" s="2543"/>
      <c r="N4" s="2543"/>
      <c r="O4" s="2543"/>
      <c r="P4" s="2543"/>
    </row>
    <row r="5" spans="1:16" ht="28.5">
      <c r="A5" s="2392" t="s">
        <v>2077</v>
      </c>
      <c r="B5" s="2394" t="s">
        <v>2078</v>
      </c>
      <c r="C5" s="1983"/>
      <c r="D5" s="2543"/>
      <c r="E5" s="2395" t="s">
        <v>2079</v>
      </c>
      <c r="F5" s="2543"/>
      <c r="G5" s="2543"/>
      <c r="H5" s="2543"/>
      <c r="I5" s="2543"/>
      <c r="J5" s="2543"/>
      <c r="K5" s="2543"/>
      <c r="L5" s="2543"/>
      <c r="M5" s="2543"/>
      <c r="N5" s="2543"/>
      <c r="O5" s="2543"/>
      <c r="P5" s="2543"/>
    </row>
    <row r="6" spans="1:16" ht="15.75">
      <c r="A6" s="2393" t="s">
        <v>2080</v>
      </c>
      <c r="B6" s="2386">
        <f ca="1">SUMIF(INDIRECT("'"&amp;A6&amp;"'"&amp;"!A:A"),"总价",INDIRECT("'"&amp;A6&amp;"'"&amp;"!B:B"))</f>
        <v>34</v>
      </c>
      <c r="C6" s="1982" t="s">
        <v>2074</v>
      </c>
      <c r="D6" s="2543"/>
      <c r="E6" s="2396">
        <f ca="1">SUMIF(INDIRECT("'"&amp;A6&amp;"'"&amp;"!C:C"),"建筑面积",INDIRECT("'"&amp;A6&amp;"'"&amp;"!D:D"))</f>
        <v>32.74</v>
      </c>
      <c r="F6" s="2543"/>
      <c r="G6" s="2543"/>
      <c r="H6" s="2543"/>
      <c r="I6" s="2543"/>
      <c r="J6" s="2543"/>
      <c r="K6" s="2543"/>
      <c r="L6" s="2543"/>
      <c r="M6" s="2543"/>
      <c r="N6" s="2543"/>
      <c r="O6" s="2543"/>
      <c r="P6" s="2543"/>
    </row>
    <row r="7" spans="1:16" ht="15.75">
      <c r="A7" s="2393"/>
      <c r="B7" s="2386" t="e">
        <f ca="1">SUMIF(INDIRECT("'"&amp;A7&amp;"'"&amp;"!A:A"),"总价",INDIRECT("'"&amp;A7&amp;"'"&amp;"!B:B"))</f>
        <v>#REF!</v>
      </c>
      <c r="C7" s="1982" t="s">
        <v>2074</v>
      </c>
      <c r="D7" s="2543"/>
      <c r="E7" s="2396" t="e">
        <f t="shared" ref="E7:E13" ca="1" si="0">SUMIF(INDIRECT("'"&amp;A7&amp;"'"&amp;"!C:C"),"建筑面积",INDIRECT("'"&amp;A7&amp;"'"&amp;"!D:D"))</f>
        <v>#REF!</v>
      </c>
      <c r="F7" s="2543"/>
      <c r="G7" s="2543"/>
      <c r="H7" s="2543"/>
      <c r="I7" s="2543"/>
      <c r="J7" s="2543"/>
      <c r="K7" s="2543"/>
      <c r="L7" s="2543"/>
      <c r="M7" s="2543"/>
      <c r="N7" s="2543"/>
      <c r="O7" s="2543"/>
      <c r="P7" s="2543"/>
    </row>
    <row r="8" spans="1:16" ht="15.75">
      <c r="A8" s="2393"/>
      <c r="B8" s="2386" t="e">
        <f t="shared" ref="B8:B13" ca="1" si="1">SUMIF(INDIRECT("'"&amp;A8&amp;"'"&amp;"!A:A"),"总价",INDIRECT("'"&amp;A8&amp;"'"&amp;"!B:B"))</f>
        <v>#REF!</v>
      </c>
      <c r="C8" s="1982" t="s">
        <v>2074</v>
      </c>
      <c r="D8" s="2543"/>
      <c r="E8" s="2396" t="e">
        <f t="shared" ca="1" si="0"/>
        <v>#REF!</v>
      </c>
      <c r="F8" s="2543"/>
      <c r="G8" s="2543"/>
      <c r="H8" s="2543"/>
      <c r="I8" s="2543"/>
      <c r="J8" s="2543"/>
      <c r="K8" s="2543"/>
      <c r="L8" s="2543"/>
      <c r="M8" s="2543"/>
      <c r="N8" s="2543"/>
      <c r="O8" s="2543"/>
      <c r="P8" s="2543"/>
    </row>
    <row r="9" spans="1:16" ht="15.75">
      <c r="A9" s="2393"/>
      <c r="B9" s="2386" t="e">
        <f t="shared" ca="1" si="1"/>
        <v>#REF!</v>
      </c>
      <c r="C9" s="1982" t="s">
        <v>2074</v>
      </c>
      <c r="D9" s="2543"/>
      <c r="E9" s="2396" t="e">
        <f t="shared" ca="1" si="0"/>
        <v>#REF!</v>
      </c>
      <c r="F9" s="2543"/>
      <c r="G9" s="2543"/>
      <c r="H9" s="2543"/>
      <c r="I9" s="2543"/>
      <c r="J9" s="2543"/>
      <c r="K9" s="2543"/>
      <c r="L9" s="2543"/>
      <c r="M9" s="2543"/>
      <c r="N9" s="2543"/>
      <c r="O9" s="2543"/>
      <c r="P9" s="2543"/>
    </row>
    <row r="10" spans="1:16" ht="15.75">
      <c r="A10" s="2393"/>
      <c r="B10" s="2386" t="e">
        <f t="shared" ca="1" si="1"/>
        <v>#REF!</v>
      </c>
      <c r="C10" s="1982" t="s">
        <v>2074</v>
      </c>
      <c r="D10" s="2543"/>
      <c r="E10" s="2396" t="e">
        <f t="shared" ca="1" si="0"/>
        <v>#REF!</v>
      </c>
      <c r="F10" s="2543"/>
      <c r="G10" s="2543"/>
      <c r="H10" s="2543"/>
      <c r="I10" s="2543"/>
      <c r="J10" s="2543"/>
      <c r="K10" s="2543"/>
      <c r="L10" s="2543"/>
      <c r="M10" s="2543"/>
      <c r="N10" s="2543"/>
      <c r="O10" s="2543"/>
      <c r="P10" s="2543"/>
    </row>
    <row r="11" spans="1:16" ht="15.75">
      <c r="A11" s="2393"/>
      <c r="B11" s="2386" t="e">
        <f t="shared" ca="1" si="1"/>
        <v>#REF!</v>
      </c>
      <c r="C11" s="1982" t="s">
        <v>2074</v>
      </c>
      <c r="D11" s="2543"/>
      <c r="E11" s="2396" t="e">
        <f t="shared" ca="1" si="0"/>
        <v>#REF!</v>
      </c>
      <c r="F11" s="2543"/>
      <c r="G11" s="2543"/>
      <c r="H11" s="2543"/>
      <c r="I11" s="2543"/>
      <c r="J11" s="2543"/>
      <c r="K11" s="2543"/>
      <c r="L11" s="2543"/>
      <c r="M11" s="2543"/>
      <c r="N11" s="2543"/>
      <c r="O11" s="2543"/>
      <c r="P11" s="2543"/>
    </row>
    <row r="12" spans="1:16" ht="15.75">
      <c r="A12" s="2393"/>
      <c r="B12" s="2386" t="e">
        <f t="shared" ca="1" si="1"/>
        <v>#REF!</v>
      </c>
      <c r="C12" s="1982" t="s">
        <v>2074</v>
      </c>
      <c r="D12" s="2543"/>
      <c r="E12" s="2396" t="e">
        <f t="shared" ca="1" si="0"/>
        <v>#REF!</v>
      </c>
      <c r="F12" s="2543"/>
      <c r="G12" s="2543"/>
      <c r="H12" s="2543"/>
      <c r="I12" s="2543"/>
      <c r="J12" s="2543"/>
      <c r="K12" s="2543"/>
      <c r="L12" s="2543"/>
      <c r="M12" s="2543"/>
      <c r="N12" s="2543"/>
      <c r="O12" s="2543"/>
      <c r="P12" s="2543"/>
    </row>
    <row r="13" spans="1:16" ht="15.75">
      <c r="A13" s="2393"/>
      <c r="B13" s="2386" t="e">
        <f t="shared" ca="1" si="1"/>
        <v>#REF!</v>
      </c>
      <c r="C13" s="1982" t="s">
        <v>2074</v>
      </c>
      <c r="D13" s="2543"/>
      <c r="E13" s="2396"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zoomScaleSheetLayoutView="100" workbookViewId="0">
      <selection activeCell="D34" sqref="D34"/>
    </sheetView>
  </sheetViews>
  <sheetFormatPr defaultColWidth="12" defaultRowHeight="12.75"/>
  <cols>
    <col min="1" max="1" width="9.75" style="1893" customWidth="1"/>
    <col min="2" max="2" width="22.5" style="1981" customWidth="1"/>
    <col min="3" max="3" width="12" style="1843"/>
    <col min="4" max="4" width="14.875" style="1843" customWidth="1"/>
    <col min="5" max="5" width="14.625" style="1843" customWidth="1"/>
    <col min="6" max="8" width="12" style="1843"/>
    <col min="9" max="9" width="12.25" style="1843" bestFit="1" customWidth="1"/>
    <col min="10" max="10" width="12" style="1843"/>
    <col min="11" max="11" width="8.125" style="1889" customWidth="1"/>
    <col min="12" max="12" width="19.5" style="1843" customWidth="1"/>
    <col min="13" max="13" width="8.5" style="1843" customWidth="1"/>
    <col min="14" max="14" width="9.75" style="1843" customWidth="1"/>
    <col min="15" max="25" width="12" style="1843"/>
    <col min="26" max="26" width="9.375" style="1893" customWidth="1"/>
    <col min="27" max="32" width="9.375" style="1058" customWidth="1"/>
    <col min="33" max="36" width="9.375" style="1893" customWidth="1"/>
    <col min="37" max="38" width="9.375" style="1843" customWidth="1"/>
    <col min="39" max="16384" width="12" style="1843"/>
  </cols>
  <sheetData>
    <row r="1" spans="1:36" ht="28.5">
      <c r="A1" s="188" t="s">
        <v>1926</v>
      </c>
      <c r="B1" s="189"/>
      <c r="C1" s="193" t="s">
        <v>1927</v>
      </c>
      <c r="D1" s="333">
        <f>SUM(D33:D34,D37:D42)</f>
        <v>32.74</v>
      </c>
      <c r="E1" s="1840"/>
      <c r="F1" s="1840"/>
      <c r="G1" s="1840"/>
      <c r="H1" s="1840"/>
      <c r="I1" s="1840"/>
      <c r="J1" s="1840"/>
      <c r="K1" s="1056"/>
      <c r="L1" s="1841" t="s">
        <v>1928</v>
      </c>
      <c r="M1" s="810">
        <f>SUMPRODUCT((区片价!B5:B9=I2)*(区片价!C3:G3=E2)*(区片价!C5:G9))</f>
        <v>0</v>
      </c>
      <c r="N1" s="813">
        <f>SUMPRODUCT((因素修正幅度!B5:B9=I2)*(因素修正幅度!C3:G3=E2)*(因素修正幅度!C5:G9))</f>
        <v>0</v>
      </c>
      <c r="O1" s="1842"/>
      <c r="P1" s="1842"/>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75">
      <c r="A2" s="193" t="s">
        <v>1934</v>
      </c>
      <c r="B2" s="196">
        <f>C30</f>
        <v>34</v>
      </c>
      <c r="C2" s="1844" t="s">
        <v>1935</v>
      </c>
      <c r="D2" s="162" t="s">
        <v>1936</v>
      </c>
      <c r="E2" s="3119" t="s">
        <v>673</v>
      </c>
      <c r="F2" s="162" t="s">
        <v>1937</v>
      </c>
      <c r="G2" s="163" t="str">
        <f>IF(E2="商业",项目基本情况!B37,IF(E2="办公",项目基本情况!C37,IF(E2="住宅",项目基本情况!D37,IF(E2="工业",项目基本情况!E37,项目基本情况!F37))))</f>
        <v>五级</v>
      </c>
      <c r="H2" s="162" t="s">
        <v>1938</v>
      </c>
      <c r="I2" s="163" t="str">
        <f>IF(E2="商业",项目基本情况!B38,IF(E2="办公",项目基本情况!C38,IF(E2="住宅",项目基本情况!D38,IF(E2="工业",项目基本情况!E38,项目基本情况!F38))))</f>
        <v>Ⅴ-12</v>
      </c>
      <c r="J2" s="1840"/>
      <c r="K2" s="1056"/>
      <c r="L2" s="1845"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14096</v>
      </c>
      <c r="U2" s="1130"/>
      <c r="V2" s="3062">
        <f>ROUND(T2*U2/10000,0)</f>
        <v>0</v>
      </c>
      <c r="W2" s="1133"/>
      <c r="X2" s="1133"/>
      <c r="Y2" s="1133"/>
      <c r="Z2" s="1133"/>
      <c r="AA2" s="1133"/>
      <c r="AB2" s="1133"/>
      <c r="AC2" s="1134"/>
      <c r="AD2" s="1135"/>
      <c r="AE2" s="1135"/>
      <c r="AF2" s="1135"/>
      <c r="AG2" s="1135"/>
      <c r="AH2" s="1135"/>
      <c r="AI2" s="1135"/>
      <c r="AJ2" s="1136"/>
    </row>
    <row r="3" spans="1:36" ht="15.75">
      <c r="A3" s="195" t="s">
        <v>1940</v>
      </c>
      <c r="B3" s="196">
        <f>ROUND(B2*10000/D1,0)</f>
        <v>10385</v>
      </c>
      <c r="C3" s="1844" t="s">
        <v>1941</v>
      </c>
      <c r="D3" s="162" t="s">
        <v>1942</v>
      </c>
      <c r="E3" s="3117" t="s">
        <v>2449</v>
      </c>
      <c r="F3" s="1846" t="s">
        <v>3497</v>
      </c>
      <c r="G3" s="708">
        <f>IF(F3="宗地容积率",'数据-汇总表'!I4,IF(F3="估价对象容积率",'数据-汇总表'!I6,'数据-汇总表'!I7))</f>
        <v>1.5</v>
      </c>
      <c r="H3" s="162" t="s">
        <v>1943</v>
      </c>
      <c r="I3" s="729"/>
      <c r="J3" s="1840" t="s">
        <v>1944</v>
      </c>
      <c r="K3" s="1056"/>
      <c r="L3" s="1845"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11110</v>
      </c>
      <c r="U3" s="1130"/>
      <c r="V3" s="3062">
        <f t="shared" ref="V3:V16" si="1">ROUND(T3*U3/10000,0)</f>
        <v>0</v>
      </c>
      <c r="W3" s="1133"/>
      <c r="X3" s="1133"/>
      <c r="Y3" s="1133"/>
      <c r="Z3" s="1133"/>
      <c r="AA3" s="1133"/>
      <c r="AB3" s="1133"/>
      <c r="AC3" s="1134"/>
      <c r="AD3" s="1135"/>
      <c r="AE3" s="1135"/>
      <c r="AF3" s="1135"/>
      <c r="AG3" s="1135"/>
      <c r="AH3" s="1135"/>
      <c r="AI3" s="1135"/>
      <c r="AJ3" s="1136"/>
    </row>
    <row r="4" spans="1:36" ht="15.75">
      <c r="A4" s="3476"/>
      <c r="B4" s="3477"/>
      <c r="C4" s="3477"/>
      <c r="D4" s="3478"/>
      <c r="E4" s="3478"/>
      <c r="F4" s="3478"/>
      <c r="G4" s="3478"/>
      <c r="H4" s="3478"/>
      <c r="I4" s="3478"/>
      <c r="J4" s="3479"/>
      <c r="K4" s="1056"/>
      <c r="L4" s="1845"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9390</v>
      </c>
      <c r="U4" s="1130"/>
      <c r="V4" s="3062">
        <f t="shared" si="1"/>
        <v>0</v>
      </c>
      <c r="W4" s="1133"/>
      <c r="X4" s="1133"/>
      <c r="Y4" s="1133"/>
      <c r="Z4" s="1133"/>
      <c r="AA4" s="1133"/>
      <c r="AB4" s="1133"/>
      <c r="AC4" s="1134"/>
      <c r="AD4" s="1135"/>
      <c r="AE4" s="1135"/>
      <c r="AF4" s="1135"/>
      <c r="AG4" s="1135"/>
      <c r="AH4" s="1135"/>
      <c r="AI4" s="1135"/>
      <c r="AJ4" s="1136"/>
    </row>
    <row r="5" spans="1:36" s="1856" customFormat="1" ht="15.75" thickBot="1">
      <c r="A5" s="1847" t="s">
        <v>362</v>
      </c>
      <c r="B5" s="1848" t="s">
        <v>1947</v>
      </c>
      <c r="C5" s="709">
        <f>ROUND(IF(E2="商业",C6*C7*C17+C20,(IF(E2="住宅",C6*C13*C17+C20,IF(E2="办公",C6*C12*C17+C20,C6+C20)))),0)</f>
        <v>15200</v>
      </c>
      <c r="D5" s="1252">
        <f>ROUND(C6*C17+C20,0)</f>
        <v>15200</v>
      </c>
      <c r="E5" s="1252"/>
      <c r="F5" s="1849"/>
      <c r="G5" s="1850"/>
      <c r="H5" s="1850"/>
      <c r="I5" s="1850"/>
      <c r="J5" s="1851"/>
      <c r="K5" s="1852"/>
      <c r="L5" s="1845" t="s">
        <v>1948</v>
      </c>
      <c r="M5" s="811">
        <f>SUMPRODUCT((区片价!B87:B126=I2)*(区片价!C3:G3=E2)*(区片价!C87:G126))</f>
        <v>15200</v>
      </c>
      <c r="N5" s="813">
        <f>SUMPRODUCT((因素修正幅度!B87:B126=I2)*(因素修正幅度!C3:G3=E2)*(因素修正幅度!C87:G126))</f>
        <v>9.8000000000000004E-2</v>
      </c>
      <c r="O5" s="1056"/>
      <c r="P5" s="1056"/>
      <c r="Q5" s="1056"/>
      <c r="R5" s="1129">
        <v>4</v>
      </c>
      <c r="S5" s="3062">
        <f>ROUND(SUMPRODUCT((B106:B110=R5)*(C105:N105=G2)*(C106:N110)),4)</f>
        <v>0.88239999999999996</v>
      </c>
      <c r="T5" s="3062">
        <f t="shared" si="0"/>
        <v>8282</v>
      </c>
      <c r="U5" s="1130"/>
      <c r="V5" s="3062">
        <f t="shared" si="1"/>
        <v>0</v>
      </c>
      <c r="W5" s="1133"/>
      <c r="X5" s="1133"/>
      <c r="Y5" s="1133"/>
      <c r="Z5" s="1133"/>
      <c r="AA5" s="1133"/>
      <c r="AB5" s="1133"/>
      <c r="AC5" s="1853"/>
      <c r="AD5" s="1854"/>
      <c r="AE5" s="1854"/>
      <c r="AF5" s="1854"/>
      <c r="AG5" s="1854"/>
      <c r="AH5" s="1854"/>
      <c r="AI5" s="1854"/>
      <c r="AJ5" s="1855"/>
    </row>
    <row r="6" spans="1:36" ht="15.75" thickBot="1">
      <c r="A6" s="1857" t="s">
        <v>1949</v>
      </c>
      <c r="B6" s="1858" t="s">
        <v>1950</v>
      </c>
      <c r="C6" s="710">
        <f>SUMIF(L1:L12,G2,M1:M12)</f>
        <v>15200</v>
      </c>
      <c r="D6" s="1859"/>
      <c r="E6" s="1860"/>
      <c r="F6" s="1860"/>
      <c r="G6" s="1861"/>
      <c r="H6" s="1861"/>
      <c r="I6" s="1861"/>
      <c r="J6" s="1862"/>
      <c r="K6" s="1292"/>
      <c r="L6" s="1845"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7959</v>
      </c>
      <c r="U6" s="1130"/>
      <c r="V6" s="3062">
        <f t="shared" si="1"/>
        <v>0</v>
      </c>
      <c r="W6" s="1133"/>
      <c r="X6" s="1133"/>
      <c r="Y6" s="1133"/>
      <c r="Z6" s="1133"/>
      <c r="AA6" s="1133"/>
      <c r="AB6" s="1133"/>
      <c r="AC6" s="1853"/>
      <c r="AD6" s="1854"/>
      <c r="AE6" s="1854"/>
      <c r="AF6" s="1854"/>
      <c r="AG6" s="1854"/>
      <c r="AH6" s="1854"/>
      <c r="AI6" s="1854"/>
      <c r="AJ6" s="1855"/>
    </row>
    <row r="7" spans="1:36" ht="24.75" thickBot="1">
      <c r="A7" s="3011" t="s">
        <v>3237</v>
      </c>
      <c r="B7" s="1863" t="s">
        <v>1952</v>
      </c>
      <c r="C7" s="711">
        <f>IF(C8="不临65条商业街",1,ROUND(1+(1.6*E8+1.2*E9+0.8*E10+0.4*E11)*C9,4))</f>
        <v>1</v>
      </c>
      <c r="D7" s="1864" t="s">
        <v>1953</v>
      </c>
      <c r="E7" s="730"/>
      <c r="F7" s="1865"/>
      <c r="G7" s="1866"/>
      <c r="H7" s="1866"/>
      <c r="I7" s="1866"/>
      <c r="J7" s="1867"/>
      <c r="K7" s="1292"/>
      <c r="L7" s="1845"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五级</v>
      </c>
      <c r="Y7" s="1131" t="s">
        <v>1956</v>
      </c>
      <c r="Z7" s="1132">
        <f>G3</f>
        <v>1.5</v>
      </c>
      <c r="AA7" s="1133"/>
      <c r="AB7" s="1133"/>
      <c r="AC7" s="1134"/>
      <c r="AD7" s="1135"/>
      <c r="AE7" s="1135"/>
      <c r="AF7" s="1135"/>
      <c r="AG7" s="1135"/>
      <c r="AH7" s="1135"/>
      <c r="AI7" s="1135"/>
      <c r="AJ7" s="1136"/>
    </row>
    <row r="8" spans="1:36" ht="25.5">
      <c r="A8" s="3008"/>
      <c r="B8" s="162" t="s">
        <v>1957</v>
      </c>
      <c r="C8" s="1868" t="s">
        <v>3498</v>
      </c>
      <c r="D8" s="712" t="s">
        <v>112</v>
      </c>
      <c r="E8" s="713" t="e">
        <f>ROUND(C11/E7,4)</f>
        <v>#DIV/0!</v>
      </c>
      <c r="F8" s="1869" t="s">
        <v>1958</v>
      </c>
      <c r="G8" s="1870"/>
      <c r="H8" s="1870"/>
      <c r="I8" s="1870"/>
      <c r="J8" s="1871"/>
      <c r="K8" s="1056"/>
      <c r="L8" s="1845"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3" t="s">
        <v>1960</v>
      </c>
      <c r="X8" s="34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SUMIF(修正!C73:C140,C8,修正!E73:E140)</f>
        <v>0</v>
      </c>
      <c r="D9" s="163" t="s">
        <v>113</v>
      </c>
      <c r="E9" s="163" t="e">
        <f>ROUND(C11/E7,4)</f>
        <v>#DIV/0!</v>
      </c>
      <c r="F9" s="1869" t="s">
        <v>1974</v>
      </c>
      <c r="G9" s="1870"/>
      <c r="H9" s="1870"/>
      <c r="I9" s="1870"/>
      <c r="J9" s="1871"/>
      <c r="K9" s="1056"/>
      <c r="L9" s="1845"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5"/>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SUMIF(修正!C73:C140,C8,修正!F73:F140)</f>
        <v>0</v>
      </c>
      <c r="D10" s="163" t="s">
        <v>114</v>
      </c>
      <c r="E10" s="163" t="e">
        <f>ROUND(C11/E7,4)</f>
        <v>#DIV/0!</v>
      </c>
      <c r="F10" s="1869" t="s">
        <v>1977</v>
      </c>
      <c r="G10" s="1870"/>
      <c r="H10" s="1870"/>
      <c r="I10" s="1870"/>
      <c r="J10" s="1871"/>
      <c r="K10" s="1056"/>
      <c r="L10" s="1845"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75" thickBot="1">
      <c r="A11" s="3010"/>
      <c r="B11" s="1872" t="s">
        <v>1979</v>
      </c>
      <c r="C11" s="715">
        <f>C10/4</f>
        <v>0</v>
      </c>
      <c r="D11" s="715" t="s">
        <v>115</v>
      </c>
      <c r="E11" s="715" t="e">
        <f>ROUND(C11/E7,4)</f>
        <v>#DIV/0!</v>
      </c>
      <c r="F11" s="1873" t="s">
        <v>1980</v>
      </c>
      <c r="G11" s="1874"/>
      <c r="H11" s="1874"/>
      <c r="I11" s="1874"/>
      <c r="J11" s="1875"/>
      <c r="K11" s="1056"/>
      <c r="L11" s="1845"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5" thickBot="1">
      <c r="A12" s="3011" t="s">
        <v>3238</v>
      </c>
      <c r="B12" s="3012" t="s">
        <v>3239</v>
      </c>
      <c r="C12" s="3013"/>
      <c r="D12" s="3014" t="s">
        <v>3240</v>
      </c>
      <c r="E12" s="3015" t="s">
        <v>3241</v>
      </c>
      <c r="F12" s="3016"/>
      <c r="G12" s="3017"/>
      <c r="H12" s="3017"/>
      <c r="I12" s="3017"/>
      <c r="J12" s="3018"/>
      <c r="K12" s="1056"/>
      <c r="L12" s="1794"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15.75" thickBot="1">
      <c r="A13" s="3011" t="s">
        <v>3242</v>
      </c>
      <c r="B13" s="1876" t="s">
        <v>1982</v>
      </c>
      <c r="C13" s="711">
        <f>ROUND(C16*D16*E16*F16*G16*H16*I16*J16,4)</f>
        <v>0</v>
      </c>
      <c r="D13" s="1877" t="s">
        <v>1983</v>
      </c>
      <c r="E13" s="1878"/>
      <c r="F13" s="1878"/>
      <c r="G13" s="1879"/>
      <c r="H13" s="1879"/>
      <c r="I13" s="1879"/>
      <c r="J13" s="1880"/>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15">
      <c r="A14" s="3007"/>
      <c r="B14" s="1881" t="s">
        <v>1985</v>
      </c>
      <c r="C14" s="1882"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3"/>
      <c r="C15" s="1884"/>
      <c r="D15" s="1885"/>
      <c r="E15" s="1886"/>
      <c r="F15" s="1470" t="s">
        <v>3244</v>
      </c>
      <c r="G15" s="1926"/>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75" thickBot="1">
      <c r="A16" s="3007"/>
      <c r="B16" s="3025" t="s">
        <v>1989</v>
      </c>
      <c r="C16" s="3023"/>
      <c r="D16" s="3023"/>
      <c r="E16" s="3023"/>
      <c r="F16" s="3023">
        <v>1</v>
      </c>
      <c r="G16" s="3023">
        <v>1</v>
      </c>
      <c r="H16" s="3023">
        <v>1</v>
      </c>
      <c r="I16" s="3023">
        <v>1</v>
      </c>
      <c r="J16" s="3024">
        <v>1</v>
      </c>
      <c r="K16" s="1056"/>
      <c r="L16" s="1842"/>
      <c r="M16" s="1842"/>
      <c r="N16" s="1842"/>
      <c r="O16" s="1842"/>
      <c r="P16" s="1842"/>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2"/>
      <c r="M17" s="1842"/>
      <c r="N17" s="1842"/>
      <c r="O17" s="1842"/>
      <c r="P17" s="1842"/>
      <c r="Q17" s="1056"/>
      <c r="R17" s="1056"/>
      <c r="S17" s="1056"/>
      <c r="T17" s="1056"/>
      <c r="U17" s="1056"/>
      <c r="V17" s="1056"/>
      <c r="W17" s="1056"/>
      <c r="X17" s="1056"/>
      <c r="Y17" s="1056"/>
      <c r="Z17" s="1057"/>
      <c r="AA17" s="1057"/>
      <c r="AB17" s="1057"/>
      <c r="AC17" s="1057"/>
      <c r="AD17" s="1057"/>
      <c r="AE17" s="1056"/>
      <c r="AF17" s="1056"/>
      <c r="AG17" s="1842"/>
      <c r="AH17" s="1842"/>
      <c r="AI17" s="1842"/>
      <c r="AJ17" s="1842"/>
    </row>
    <row r="18" spans="1:37" s="1856" customFormat="1" ht="14.25">
      <c r="A18" s="3037"/>
      <c r="B18" s="2308"/>
      <c r="C18" s="3033"/>
      <c r="D18" s="3028" t="s">
        <v>3248</v>
      </c>
      <c r="E18" s="2355"/>
      <c r="F18" s="3029" t="s">
        <v>3251</v>
      </c>
      <c r="G18" s="3033">
        <f>ROUND(1-(1/(POWER(1+G24,E18))),4)</f>
        <v>0</v>
      </c>
      <c r="H18" s="3029" t="s">
        <v>3253</v>
      </c>
      <c r="I18" s="3033">
        <f>ROUND(1-(1/(POWER(1+G24,J24))),4)</f>
        <v>0.88249999999999995</v>
      </c>
      <c r="J18" s="3038"/>
      <c r="K18" s="1056"/>
      <c r="L18" s="1842"/>
      <c r="M18" s="1842"/>
      <c r="N18" s="1842"/>
      <c r="O18" s="1842"/>
      <c r="P18" s="1842"/>
      <c r="Q18" s="1056"/>
      <c r="R18" s="1060"/>
      <c r="S18" s="1060"/>
      <c r="T18" s="1057"/>
      <c r="U18" s="1057"/>
      <c r="V18" s="1057"/>
      <c r="W18" s="1056"/>
      <c r="X18" s="1056"/>
      <c r="Y18" s="1056"/>
      <c r="Z18" s="1061"/>
      <c r="AA18" s="1061"/>
      <c r="AB18" s="1061"/>
      <c r="AC18" s="1061"/>
      <c r="AD18" s="1061"/>
      <c r="AE18" s="1057"/>
      <c r="AF18" s="1057"/>
      <c r="AG18" s="1978"/>
      <c r="AH18" s="1978"/>
      <c r="AI18" s="1978"/>
      <c r="AJ18" s="2551"/>
    </row>
    <row r="19" spans="1:37" s="1856" customFormat="1" ht="15" thickBot="1">
      <c r="A19" s="3039"/>
      <c r="B19" s="3040"/>
      <c r="C19" s="3041"/>
      <c r="D19" s="3041" t="s">
        <v>3249</v>
      </c>
      <c r="E19" s="3042"/>
      <c r="F19" s="3043" t="s">
        <v>3252</v>
      </c>
      <c r="G19" s="3042"/>
      <c r="H19" s="3041"/>
      <c r="I19" s="3041"/>
      <c r="J19" s="3044"/>
      <c r="K19" s="1056"/>
      <c r="L19" s="1842"/>
      <c r="M19" s="1842"/>
      <c r="N19" s="1842"/>
      <c r="O19" s="1842"/>
      <c r="P19" s="1842"/>
      <c r="Q19" s="1060"/>
      <c r="R19" s="1060"/>
      <c r="S19" s="1060"/>
      <c r="T19" s="1057"/>
      <c r="U19" s="1057"/>
      <c r="V19" s="1057"/>
      <c r="W19" s="1056"/>
      <c r="X19" s="1056"/>
      <c r="Y19" s="1056"/>
      <c r="Z19" s="1061"/>
      <c r="AA19" s="1061"/>
      <c r="AB19" s="1061"/>
      <c r="AC19" s="1061"/>
      <c r="AD19" s="1061"/>
      <c r="AE19" s="1061"/>
      <c r="AF19" s="1060"/>
      <c r="AG19" s="2554"/>
      <c r="AH19" s="1978"/>
      <c r="AI19" s="561"/>
      <c r="AJ19" s="561"/>
      <c r="AK19" s="1897"/>
    </row>
    <row r="20" spans="1:37" s="1856" customFormat="1" ht="14.25">
      <c r="A20" s="3480" t="s">
        <v>3254</v>
      </c>
      <c r="B20" s="159" t="s">
        <v>1994</v>
      </c>
      <c r="C20" s="3030">
        <f>ROUND(IF(F21="与级别开发程度一致",0,(G21-E21)/C21),0)</f>
        <v>0</v>
      </c>
      <c r="D20" s="3045" t="s">
        <v>1998</v>
      </c>
      <c r="E20" s="3046"/>
      <c r="F20" s="3486" t="s">
        <v>1995</v>
      </c>
      <c r="G20" s="3487"/>
      <c r="H20" s="3031"/>
      <c r="I20" s="3031"/>
      <c r="J20" s="3032"/>
      <c r="K20" s="1887"/>
      <c r="L20" s="1887"/>
      <c r="M20" s="1887"/>
      <c r="N20" s="1887"/>
      <c r="O20" s="1888"/>
      <c r="P20" s="1842"/>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6" customFormat="1" ht="26.25" thickBot="1">
      <c r="A21" s="3481"/>
      <c r="B21" s="2000" t="s">
        <v>1997</v>
      </c>
      <c r="C21" s="2001">
        <f>IF(E3="M4科研用地",SUMPRODUCT((修正!A2:A7=E3)*(修正!B1:M1=G2)*(修正!B2:M7)),SUMPRODUCT((修正!A2:A7=E2)*(修正!B1:M1=G2)*(修正!B2:M7)))</f>
        <v>2.5</v>
      </c>
      <c r="D21" s="179" t="str">
        <f>IF(OR(G2="八级",G2="九级",G2="十级",G2="十一级",G2="十二级"),"五通一平","七通一平")</f>
        <v>七通一平</v>
      </c>
      <c r="E21" s="1991">
        <f>SUMPRODUCT((修正!B1:M1=G2)*(修正!B17:M17))</f>
        <v>315</v>
      </c>
      <c r="F21" s="1992" t="s">
        <v>3499</v>
      </c>
      <c r="G21" s="1993">
        <f>SUM(H21:O21)</f>
        <v>0</v>
      </c>
      <c r="H21" s="2001">
        <f>SUMPRODUCT((七通一平=H20)*(修正!B1:M1=G2)*(修正!B8:M16))</f>
        <v>0</v>
      </c>
      <c r="I21" s="2001">
        <f>SUMPRODUCT((七通一平=I20)*(修正!B1:M1=G2)*(修正!B8:M16))</f>
        <v>0</v>
      </c>
      <c r="J21" s="2002">
        <f>SUMPRODUCT((七通一平=J20)*(修正!B1:M1=G2)*(修正!B8:M16))</f>
        <v>0</v>
      </c>
      <c r="K21" s="2001">
        <f>SUMPRODUCT((七通一平=K20)*(修正!B1:M1=G2)*(修正!B8:M16))</f>
        <v>0</v>
      </c>
      <c r="L21" s="2001">
        <f>SUMPRODUCT((七通一平=L20)*(修正!B1:M1=G2)*(修正!B8:M16))</f>
        <v>0</v>
      </c>
      <c r="M21" s="2001">
        <f>SUMPRODUCT((七通一平=M20)*(修正!B1:M1=G2)*(修正!B8:M16))</f>
        <v>0</v>
      </c>
      <c r="N21" s="2001">
        <f>SUMPRODUCT((七通一平=N20)*(修正!B1:M1=G2)*(修正!B8:M16))</f>
        <v>0</v>
      </c>
      <c r="O21" s="2003">
        <f>SUMPRODUCT((七通一平=O20)*(修正!B1:M1=G2)*(修正!B8:M16))</f>
        <v>0</v>
      </c>
      <c r="P21" s="1842"/>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6" customFormat="1" ht="15.75" thickBot="1">
      <c r="A22" s="1994" t="s">
        <v>363</v>
      </c>
      <c r="B22" s="1995" t="s">
        <v>2000</v>
      </c>
      <c r="C22" s="1996">
        <f>SUMIF(修正!C20:C53,E3,修正!E20:E53)</f>
        <v>0.8</v>
      </c>
      <c r="D22" s="1997"/>
      <c r="E22" s="1998"/>
      <c r="F22" s="1998"/>
      <c r="G22" s="1998"/>
      <c r="H22" s="1998"/>
      <c r="I22" s="1998"/>
      <c r="J22" s="1999"/>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15.75" thickBot="1">
      <c r="A23" s="1890" t="s">
        <v>364</v>
      </c>
      <c r="B23" s="1891"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1.0251999999999999</v>
      </c>
      <c r="D23" s="1894" t="s">
        <v>2002</v>
      </c>
      <c r="E23" s="717">
        <v>44197</v>
      </c>
      <c r="F23" s="1894" t="s">
        <v>2003</v>
      </c>
      <c r="G23" s="718">
        <f>'数据-取费表'!B2</f>
        <v>46015</v>
      </c>
      <c r="H23" s="3047" t="s">
        <v>3500</v>
      </c>
      <c r="I23" s="3048" t="str">
        <f>IF(H23="季度增幅（自定义）",SUMIF(N25:N28,E2,O25:O28),"")</f>
        <v/>
      </c>
      <c r="J23" s="3140" t="s">
        <v>3501</v>
      </c>
      <c r="K23" s="1061"/>
      <c r="L23" s="1895" t="s">
        <v>2004</v>
      </c>
      <c r="M23" s="1241">
        <f>ROUND(SUMIF(地价!B2:G2,E2,地价!B16:G16),0)</f>
        <v>350</v>
      </c>
      <c r="N23" s="1896"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78"/>
      <c r="AH23" s="1978"/>
      <c r="AI23" s="1978"/>
      <c r="AJ23" s="1978"/>
      <c r="AK23" s="1893"/>
    </row>
    <row r="24" spans="1:37" s="1856" customFormat="1" ht="24.75" thickBot="1">
      <c r="A24" s="1898" t="s">
        <v>365</v>
      </c>
      <c r="B24" s="1899" t="s">
        <v>2006</v>
      </c>
      <c r="C24" s="720">
        <f>ROUND(POWER(1+G24,J24-I24)*(POWER(1+G24,I24)-1)/(POWER(1+G24,J24)-1),4)</f>
        <v>0.72230000000000005</v>
      </c>
      <c r="D24" s="1900" t="s">
        <v>2007</v>
      </c>
      <c r="E24" s="1248">
        <f>存贷款利率!E28/100</f>
        <v>4.3499999999999997E-2</v>
      </c>
      <c r="F24" s="1900" t="s">
        <v>1999</v>
      </c>
      <c r="G24" s="724">
        <f>SUMIF(M30:Q30,E2,M33:Q33)</f>
        <v>5.5E-2</v>
      </c>
      <c r="H24" s="1900" t="s">
        <v>2008</v>
      </c>
      <c r="I24" s="725">
        <f>SUMIF('数据-取费表'!C6:C15,E2,'数据-取费表'!F6:F15)/COUNTIF('数据-取费表'!C6:C15,E2)</f>
        <v>18.95</v>
      </c>
      <c r="J24" s="726">
        <f>IF(E2="住宅",70,IF(E2="商业",40,50))</f>
        <v>40</v>
      </c>
      <c r="K24" s="1061"/>
      <c r="L24" s="1901" t="s">
        <v>2009</v>
      </c>
      <c r="M24" s="1242">
        <f>ROUND(SUMPRODUCT((地价!A4:A16=YEAR(G23)&amp;"-"&amp;ROUNDUP(MONTH(G23)/3,0))*(地价!B2:G2=E2)*(地价!B4:G16)),0)</f>
        <v>0</v>
      </c>
      <c r="N24" s="1902" t="s">
        <v>2010</v>
      </c>
      <c r="O24" s="1903" t="s">
        <v>2011</v>
      </c>
      <c r="P24" s="1904" t="s">
        <v>2012</v>
      </c>
      <c r="Q24" s="1842"/>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5">
      <c r="A25" s="1905" t="s">
        <v>366</v>
      </c>
      <c r="B25" s="1906" t="s">
        <v>3333</v>
      </c>
      <c r="C25" s="461">
        <f>IF(B25="容积率修正",IF(G3&lt;10,D26,J26),C27)</f>
        <v>1.1084000000000001</v>
      </c>
      <c r="D25" s="1907"/>
      <c r="E25" s="1907"/>
      <c r="F25" s="1907"/>
      <c r="G25" s="1907"/>
      <c r="H25" s="1907"/>
      <c r="I25" s="1907"/>
      <c r="J25" s="1908"/>
      <c r="K25" s="1061"/>
      <c r="L25" s="2551"/>
      <c r="M25" s="2551"/>
      <c r="N25" s="1909"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78"/>
      <c r="AH25" s="1978"/>
      <c r="AI25" s="1978"/>
      <c r="AJ25" s="1978"/>
    </row>
    <row r="26" spans="1:37" ht="14.25">
      <c r="A26" s="1804" t="s">
        <v>2014</v>
      </c>
      <c r="B26" s="1910" t="s">
        <v>2015</v>
      </c>
      <c r="C26" s="1910" t="s">
        <v>3255</v>
      </c>
      <c r="D26" s="1263">
        <f>IF(E26=G26,F26,IF(G3&lt;10,ROUND(F26+(H26-F26)*(G3-E26)/(G26-E26),4),"——"))</f>
        <v>1.1084000000000001</v>
      </c>
      <c r="E26" s="708">
        <f>ROUNDDOWN(G3,1)</f>
        <v>1.5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1.1084000000000001</v>
      </c>
      <c r="G26" s="708">
        <f>ROUNDUP(G3,1)</f>
        <v>1.5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1.1084000000000001</v>
      </c>
      <c r="I26" s="1910" t="s">
        <v>3256</v>
      </c>
      <c r="J26" s="374" t="str">
        <f>IF(G3&gt;=10,D115,"——")</f>
        <v>——</v>
      </c>
      <c r="K26" s="1061"/>
      <c r="L26" s="2551"/>
      <c r="M26" s="2551"/>
      <c r="N26" s="1909" t="s">
        <v>2016</v>
      </c>
      <c r="O26" s="1093"/>
      <c r="P26" s="1094">
        <f>SUMPRODUCT((地价!A3:A40=YEAR(G23)&amp;"-"&amp;ROUNDUP(MONTH(G23)/3,0))*(地价!AD2:AH2=N26)*(地价!AD3:AH40))</f>
        <v>0</v>
      </c>
      <c r="Q26" s="1842"/>
      <c r="R26" s="1060"/>
      <c r="S26" s="1060"/>
      <c r="T26" s="1057"/>
      <c r="U26" s="1057"/>
      <c r="V26" s="1057"/>
      <c r="W26" s="1056"/>
      <c r="X26" s="1056"/>
      <c r="Y26" s="1056"/>
      <c r="Z26" s="1061"/>
      <c r="AA26" s="1061"/>
      <c r="AB26" s="1061"/>
      <c r="AC26" s="1061"/>
      <c r="AD26" s="1061"/>
      <c r="AE26" s="1057"/>
      <c r="AF26" s="1057"/>
      <c r="AG26" s="1978"/>
      <c r="AH26" s="1978"/>
      <c r="AI26" s="1978"/>
      <c r="AJ26" s="1978"/>
    </row>
    <row r="27" spans="1:37" ht="15.75" thickBot="1">
      <c r="A27" s="1804" t="s">
        <v>2017</v>
      </c>
      <c r="B27" s="1911" t="s">
        <v>2018</v>
      </c>
      <c r="C27" s="791">
        <f>ROUND(IF(I3&lt;6,SUMPRODUCT((B106:B110=I3)*(C105:N105=G2)*(C106:N110)),SUMIF(C105:N105,G2,C112:N112)),4)</f>
        <v>0</v>
      </c>
      <c r="D27" s="1840"/>
      <c r="E27" s="1840"/>
      <c r="F27" s="1912"/>
      <c r="G27" s="1913"/>
      <c r="H27" s="1914"/>
      <c r="I27" s="1915"/>
      <c r="J27" s="1916"/>
      <c r="K27" s="1056"/>
      <c r="L27" s="1842"/>
      <c r="M27" s="1842"/>
      <c r="N27" s="1909" t="s">
        <v>2019</v>
      </c>
      <c r="O27" s="1093"/>
      <c r="P27" s="1094">
        <f>SUMPRODUCT((地价!A3:A40=YEAR(G23)&amp;"-"&amp;ROUNDUP(MONTH(G23)/3,0))*(地价!AD2:AH2=N27)*(地价!AD3:AH40))</f>
        <v>0</v>
      </c>
      <c r="Q27" s="1842"/>
      <c r="R27" s="1060"/>
      <c r="S27" s="1060"/>
      <c r="T27" s="1057"/>
      <c r="U27" s="1057"/>
      <c r="V27" s="1057"/>
      <c r="W27" s="1056"/>
      <c r="X27" s="1056"/>
      <c r="Y27" s="1056"/>
      <c r="Z27" s="1061"/>
      <c r="AA27" s="1061"/>
      <c r="AB27" s="1061"/>
      <c r="AC27" s="1061"/>
      <c r="AD27" s="1061"/>
      <c r="AE27" s="1057"/>
      <c r="AF27" s="1057"/>
      <c r="AG27" s="1978"/>
      <c r="AH27" s="1978"/>
      <c r="AI27" s="1978"/>
      <c r="AJ27" s="1978"/>
    </row>
    <row r="28" spans="1:37" ht="15.75" thickBot="1">
      <c r="A28" s="1898" t="s">
        <v>367</v>
      </c>
      <c r="B28" s="1891" t="s">
        <v>2020</v>
      </c>
      <c r="C28" s="716">
        <f>SUMIF(A47:A101,E2,B47:B101)</f>
        <v>1.0423</v>
      </c>
      <c r="D28" s="1892"/>
      <c r="E28" s="1917"/>
      <c r="F28" s="1917"/>
      <c r="G28" s="1917"/>
      <c r="H28" s="1917"/>
      <c r="I28" s="1917"/>
      <c r="J28" s="1918"/>
      <c r="K28" s="1061"/>
      <c r="L28" s="2551"/>
      <c r="M28" s="2551"/>
      <c r="N28" s="1919"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78"/>
      <c r="AH28" s="1978"/>
      <c r="AI28" s="1978"/>
      <c r="AJ28" s="1978"/>
    </row>
    <row r="29" spans="1:37" ht="15.75" thickBot="1">
      <c r="A29" s="1898" t="s">
        <v>368</v>
      </c>
      <c r="B29" s="1920" t="s">
        <v>2022</v>
      </c>
      <c r="C29" s="721"/>
      <c r="D29" s="1866"/>
      <c r="E29" s="1866"/>
      <c r="F29" s="1921"/>
      <c r="G29" s="1866"/>
      <c r="H29" s="1866"/>
      <c r="I29" s="1866"/>
      <c r="J29" s="1867"/>
      <c r="K29" s="1056"/>
      <c r="L29" s="1842"/>
      <c r="M29" s="1842"/>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2"/>
      <c r="AH29" s="1842"/>
      <c r="AI29" s="1842"/>
      <c r="AJ29" s="1842"/>
    </row>
    <row r="30" spans="1:37" ht="15">
      <c r="A30" s="1922"/>
      <c r="B30" s="1910" t="s">
        <v>2024</v>
      </c>
      <c r="C30" s="2143">
        <f>IF(B25="容积率修正",E33+SUM(E37:E42),SUM(V2:V16)+SUM(E37:E42))</f>
        <v>34</v>
      </c>
      <c r="D30" s="1923"/>
      <c r="E30" s="1840"/>
      <c r="F30" s="1924"/>
      <c r="G30" s="1840"/>
      <c r="H30" s="1840"/>
      <c r="I30" s="1840"/>
      <c r="J30" s="1925"/>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2"/>
      <c r="AH30" s="1842"/>
      <c r="AI30" s="1842"/>
      <c r="AJ30" s="1842"/>
    </row>
    <row r="31" spans="1:37" ht="15.75" thickBot="1">
      <c r="A31" s="1922"/>
      <c r="B31" s="1926" t="s">
        <v>2025</v>
      </c>
      <c r="C31" s="722">
        <f>E34+SUM(I37:I42)</f>
        <v>0</v>
      </c>
      <c r="D31" s="1927"/>
      <c r="E31" s="1928"/>
      <c r="F31" s="1929"/>
      <c r="G31" s="1928"/>
      <c r="H31" s="1928"/>
      <c r="I31" s="1928"/>
      <c r="J31" s="1930"/>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2"/>
      <c r="AH31" s="1842"/>
      <c r="AI31" s="1842"/>
      <c r="AJ31" s="1842"/>
    </row>
    <row r="32" spans="1:37" ht="15.75" thickBot="1">
      <c r="A32" s="1931"/>
      <c r="B32" s="1932" t="s">
        <v>2026</v>
      </c>
      <c r="C32" s="1933" t="s">
        <v>2027</v>
      </c>
      <c r="D32" s="1933" t="s">
        <v>2028</v>
      </c>
      <c r="E32" s="1934" t="s">
        <v>2029</v>
      </c>
      <c r="F32" s="1935"/>
      <c r="G32" s="1879"/>
      <c r="H32" s="1879"/>
      <c r="I32" s="1879"/>
      <c r="J32" s="1880"/>
      <c r="K32" s="1056"/>
      <c r="L32" s="3057" t="s">
        <v>1999</v>
      </c>
      <c r="M32" s="2354">
        <f>ROUND($E$24*(1+M31),3)</f>
        <v>5.3999999999999999E-2</v>
      </c>
      <c r="N32" s="2354">
        <f>ROUND($E$24*(1+N31),3)</f>
        <v>5.1999999999999998E-2</v>
      </c>
      <c r="O32" s="2354">
        <f>ROUND($E$24*(1+O31),3)</f>
        <v>0.05</v>
      </c>
      <c r="P32" s="2354">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2"/>
      <c r="AH32" s="1842"/>
      <c r="AI32" s="1842"/>
      <c r="AJ32" s="1842"/>
    </row>
    <row r="33" spans="1:37" ht="14.25">
      <c r="A33" s="1936"/>
      <c r="B33" s="1937" t="s">
        <v>2030</v>
      </c>
      <c r="C33" s="167">
        <f>ROUND(C5*C22*C23*C24*C25*C28,0)</f>
        <v>10403</v>
      </c>
      <c r="D33" s="1938">
        <f>'数据-汇总表'!F19</f>
        <v>32.74</v>
      </c>
      <c r="E33" s="727">
        <f>ROUND(C33*D33/10000,0)</f>
        <v>34</v>
      </c>
      <c r="F33" s="3049" t="s">
        <v>3258</v>
      </c>
      <c r="G33" s="1939"/>
      <c r="H33" s="1939"/>
      <c r="I33" s="1939"/>
      <c r="J33" s="1940"/>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78"/>
      <c r="AH33" s="1978"/>
      <c r="AI33" s="1978"/>
      <c r="AJ33" s="1978"/>
    </row>
    <row r="34" spans="1:37" ht="25.5" thickBot="1">
      <c r="A34" s="1941"/>
      <c r="B34" s="1942" t="s">
        <v>2031</v>
      </c>
      <c r="C34" s="179">
        <f>ROUND(IF(E2="工业",C33*M42,IF(B25="楼层修正",SUM(V2:V16)*M41*10000/D34,C33*M41)),0)</f>
        <v>2601</v>
      </c>
      <c r="D34" s="1943"/>
      <c r="E34" s="727">
        <f>ROUND(IF(B25="楼层修正",SUM(V2:V16)*M40,C34*D34/10000),0)</f>
        <v>0</v>
      </c>
      <c r="F34" s="1944" t="s">
        <v>2032</v>
      </c>
      <c r="G34" s="1945"/>
      <c r="H34" s="1945"/>
      <c r="I34" s="1945"/>
      <c r="J34" s="1946"/>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78"/>
      <c r="AH34" s="1978"/>
      <c r="AI34" s="1978"/>
      <c r="AJ34" s="1978"/>
    </row>
    <row r="35" spans="1:37">
      <c r="A35" s="1947"/>
      <c r="B35" s="1948" t="s">
        <v>2033</v>
      </c>
      <c r="C35" s="3050" t="s">
        <v>3259</v>
      </c>
      <c r="D35" s="1879"/>
      <c r="E35" s="1949"/>
      <c r="F35" s="1949"/>
      <c r="G35" s="1877" t="s">
        <v>2034</v>
      </c>
      <c r="H35" s="1879"/>
      <c r="I35" s="1950"/>
      <c r="J35" s="1880"/>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78"/>
      <c r="AH35" s="1978"/>
      <c r="AI35" s="1978"/>
      <c r="AJ35" s="1978"/>
    </row>
    <row r="36" spans="1:37" ht="24.75" thickBot="1">
      <c r="A36" s="1936"/>
      <c r="B36" s="1951"/>
      <c r="C36" s="436" t="s">
        <v>2027</v>
      </c>
      <c r="D36" s="433" t="s">
        <v>2028</v>
      </c>
      <c r="E36" s="433" t="s">
        <v>2029</v>
      </c>
      <c r="F36" s="333" t="s">
        <v>2035</v>
      </c>
      <c r="G36" s="1952" t="s">
        <v>2027</v>
      </c>
      <c r="H36" s="1952" t="s">
        <v>2028</v>
      </c>
      <c r="I36" s="1952" t="s">
        <v>2029</v>
      </c>
      <c r="J36" s="235"/>
      <c r="K36" s="1962" t="s">
        <v>3263</v>
      </c>
      <c r="L36" s="3141">
        <f ca="1">'数据-取费表'!B40</f>
        <v>3.1300000000000001E-2</v>
      </c>
      <c r="M36" s="2364">
        <f ca="1">ROUND($L$36*(1+M31),3)</f>
        <v>3.9E-2</v>
      </c>
      <c r="N36" s="2364">
        <f ca="1">ROUND($L$36*(1+N31),3)</f>
        <v>3.7999999999999999E-2</v>
      </c>
      <c r="O36" s="2364">
        <f ca="1">ROUND($L$36*(1+O31),3)</f>
        <v>3.5999999999999997E-2</v>
      </c>
      <c r="P36" s="2364">
        <f ca="1">ROUND($L$36*(1+P31),3)</f>
        <v>3.4000000000000002E-2</v>
      </c>
      <c r="Q36" s="2364">
        <f ca="1">ROUND($L$36*(1+Q31),3)</f>
        <v>3.5999999999999997E-2</v>
      </c>
      <c r="R36" s="1056"/>
      <c r="S36" s="1056"/>
      <c r="T36" s="1056"/>
      <c r="U36" s="1056"/>
      <c r="V36" s="1056"/>
      <c r="W36" s="1056"/>
      <c r="X36" s="1056"/>
      <c r="Y36" s="1056"/>
      <c r="Z36" s="1057"/>
      <c r="AA36" s="1057"/>
      <c r="AB36" s="1057"/>
      <c r="AC36" s="1057"/>
      <c r="AD36" s="1057"/>
      <c r="AE36" s="1057"/>
      <c r="AF36" s="1057"/>
      <c r="AG36" s="1978"/>
      <c r="AH36" s="1978"/>
      <c r="AI36" s="1978"/>
      <c r="AJ36" s="1978"/>
    </row>
    <row r="37" spans="1:37" ht="24.75" thickBot="1">
      <c r="A37" s="3484"/>
      <c r="B37" s="1953" t="s">
        <v>2036</v>
      </c>
      <c r="C37" s="167">
        <f>ROUND(D5*C22*C23*C24*C28*F37,0)</f>
        <v>5631</v>
      </c>
      <c r="D37" s="1938"/>
      <c r="E37" s="163">
        <f>ROUND(C37*D37/10000,0)</f>
        <v>0</v>
      </c>
      <c r="F37" s="163">
        <f>SUMIF(修正!A59:A70,G2,修正!B59:B70)</f>
        <v>0.6</v>
      </c>
      <c r="G37" s="163">
        <f>ROUND(IF(E2="工业",C37*$M$42,C37*$M$41),0)</f>
        <v>1408</v>
      </c>
      <c r="H37" s="163">
        <f>D37</f>
        <v>0</v>
      </c>
      <c r="I37" s="163">
        <f>ROUND(G37*H37/10000,0)</f>
        <v>0</v>
      </c>
      <c r="J37" s="2753"/>
      <c r="K37" s="3060" t="s">
        <v>3264</v>
      </c>
      <c r="L37" s="1962">
        <f ca="1">L36+K38</f>
        <v>3.6299999999999999E-2</v>
      </c>
      <c r="M37" s="2364">
        <f ca="1">ROUND($L$37*(1+M31),3)</f>
        <v>4.4999999999999998E-2</v>
      </c>
      <c r="N37" s="2364">
        <f t="shared" ref="N37:Q37" ca="1" si="3">ROUND($L$37*(1+N31),3)</f>
        <v>4.3999999999999997E-2</v>
      </c>
      <c r="O37" s="2364">
        <f t="shared" ca="1" si="3"/>
        <v>4.2000000000000003E-2</v>
      </c>
      <c r="P37" s="2364">
        <f t="shared" ca="1" si="3"/>
        <v>0.04</v>
      </c>
      <c r="Q37" s="2364">
        <f t="shared" ca="1" si="3"/>
        <v>4.2000000000000003E-2</v>
      </c>
      <c r="R37" s="1056"/>
      <c r="S37" s="1056"/>
      <c r="T37" s="1056"/>
      <c r="U37" s="1056"/>
      <c r="V37" s="1056"/>
      <c r="W37" s="1056"/>
      <c r="X37" s="1056"/>
      <c r="Y37" s="1056"/>
      <c r="Z37" s="1057"/>
      <c r="AA37" s="1057"/>
      <c r="AB37" s="1057"/>
      <c r="AC37" s="1057"/>
      <c r="AD37" s="1057"/>
      <c r="AE37" s="1057"/>
      <c r="AF37" s="1057"/>
      <c r="AG37" s="1978"/>
      <c r="AH37" s="1978"/>
      <c r="AI37" s="1978"/>
      <c r="AJ37" s="1978"/>
    </row>
    <row r="38" spans="1:37">
      <c r="A38" s="3485"/>
      <c r="B38" s="1882" t="s">
        <v>2037</v>
      </c>
      <c r="C38" s="167">
        <f>ROUND(D5*C22*C23*C24*C28*F38,0)</f>
        <v>2816</v>
      </c>
      <c r="D38" s="1938"/>
      <c r="E38" s="163">
        <f t="shared" ref="E38:E42" si="4">ROUND(C38*D38/10000,0)</f>
        <v>0</v>
      </c>
      <c r="F38" s="163">
        <f>SUMIF(修正!A59:A70,G2,修正!C59:C70)</f>
        <v>0.3</v>
      </c>
      <c r="G38" s="163">
        <f>ROUND(IF(E2="工业",C38*$M$42,C38*$M$41),0)</f>
        <v>704</v>
      </c>
      <c r="H38" s="163">
        <f t="shared" ref="H38:H42" si="5">D38</f>
        <v>0</v>
      </c>
      <c r="I38" s="163">
        <f t="shared" ref="I38:I42" si="6">ROUND(G38*H38/10000,0)</f>
        <v>0</v>
      </c>
      <c r="J38" s="2752"/>
      <c r="K38" s="1962">
        <v>5.0000000000000001E-3</v>
      </c>
      <c r="L38" s="1962"/>
      <c r="M38" s="1962"/>
      <c r="N38" s="1962"/>
      <c r="O38" s="1962"/>
      <c r="P38" s="1962"/>
      <c r="Q38" s="1962"/>
      <c r="R38" s="1056"/>
      <c r="S38" s="1056"/>
      <c r="T38" s="1056"/>
      <c r="U38" s="1056"/>
      <c r="V38" s="1056"/>
      <c r="W38" s="1056"/>
      <c r="X38" s="1056"/>
      <c r="Y38" s="1056"/>
      <c r="Z38" s="1057"/>
      <c r="AA38" s="1057"/>
      <c r="AB38" s="1057"/>
      <c r="AC38" s="1057"/>
      <c r="AD38" s="1057"/>
    </row>
    <row r="39" spans="1:37" ht="13.5" thickBot="1">
      <c r="A39" s="3485"/>
      <c r="B39" s="1882" t="s">
        <v>3257</v>
      </c>
      <c r="C39" s="167">
        <f>ROUND(D5*C22*C23*C24*C28*F39,0)</f>
        <v>2346</v>
      </c>
      <c r="D39" s="1938"/>
      <c r="E39" s="163">
        <f t="shared" si="4"/>
        <v>0</v>
      </c>
      <c r="F39" s="163">
        <f>SUMIF(修正!A59:A70,G2,修正!D59:D70)</f>
        <v>0.25</v>
      </c>
      <c r="G39" s="163">
        <f>ROUND(IF(E2="工业",C39*$M$42,C39*$M$41),0)</f>
        <v>587</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4"/>
      <c r="B40" s="1882" t="s">
        <v>2038</v>
      </c>
      <c r="C40" s="163">
        <f>ROUND(D5*C22*C23*C24*C28*F40,0)</f>
        <v>2346</v>
      </c>
      <c r="D40" s="1938"/>
      <c r="E40" s="163">
        <f t="shared" si="4"/>
        <v>0</v>
      </c>
      <c r="F40" s="167">
        <f>SUMIF(修正!A59:A70,G2,修正!E59:E70)</f>
        <v>0.25</v>
      </c>
      <c r="G40" s="163">
        <f>ROUND(IF(E2="工业",C40*$M$42,C40*$M$41),0)</f>
        <v>587</v>
      </c>
      <c r="H40" s="163">
        <f t="shared" si="5"/>
        <v>0</v>
      </c>
      <c r="I40" s="163">
        <f t="shared" si="6"/>
        <v>0</v>
      </c>
      <c r="J40" s="939"/>
      <c r="L40" s="1955" t="s">
        <v>2039</v>
      </c>
      <c r="M40" s="1956"/>
      <c r="Z40" s="1057"/>
      <c r="AA40" s="1057"/>
      <c r="AB40" s="1057"/>
      <c r="AC40" s="1057"/>
      <c r="AD40" s="1057"/>
      <c r="AE40" s="1057"/>
      <c r="AF40" s="1057"/>
      <c r="AG40" s="1057"/>
      <c r="AH40" s="1057"/>
      <c r="AI40" s="1057"/>
      <c r="AJ40" s="1057"/>
    </row>
    <row r="41" spans="1:37" s="1056" customFormat="1">
      <c r="A41" s="1954"/>
      <c r="B41" s="1882" t="s">
        <v>2040</v>
      </c>
      <c r="C41" s="163">
        <f>ROUND(D5*C22*C23*C44*C28*F41,0)</f>
        <v>0</v>
      </c>
      <c r="D41" s="1938"/>
      <c r="E41" s="163">
        <f t="shared" si="4"/>
        <v>0</v>
      </c>
      <c r="F41" s="167">
        <f>SUMIF(修正!A59:A70,G2,修正!F59:F70)</f>
        <v>0.25</v>
      </c>
      <c r="G41" s="163">
        <f>ROUND(IF(E2="工业",C41*$M$42,C41*$M$41),0)</f>
        <v>0</v>
      </c>
      <c r="H41" s="163">
        <f t="shared" si="5"/>
        <v>0</v>
      </c>
      <c r="I41" s="163">
        <f t="shared" si="6"/>
        <v>0</v>
      </c>
      <c r="J41" s="939"/>
      <c r="L41" s="3061" t="s">
        <v>3265</v>
      </c>
      <c r="M41" s="1957">
        <v>0.25</v>
      </c>
      <c r="Z41" s="1057"/>
      <c r="AA41" s="1057"/>
      <c r="AB41" s="1057"/>
      <c r="AC41" s="1057"/>
      <c r="AD41" s="1057"/>
      <c r="AE41" s="1057"/>
      <c r="AF41" s="1057"/>
      <c r="AG41" s="1057"/>
      <c r="AH41" s="1057"/>
      <c r="AI41" s="1057"/>
      <c r="AJ41" s="1057"/>
    </row>
    <row r="42" spans="1:37" s="1056" customFormat="1" ht="13.5" thickBot="1">
      <c r="A42" s="1941"/>
      <c r="B42" s="1958" t="s">
        <v>2041</v>
      </c>
      <c r="C42" s="179">
        <f>ROUND(D5*C22*C23*C44*C28*F42,0)</f>
        <v>0</v>
      </c>
      <c r="D42" s="1943"/>
      <c r="E42" s="179">
        <f t="shared" si="4"/>
        <v>0</v>
      </c>
      <c r="F42" s="723">
        <f>SUMIF(修正!A59:A70,G2,修正!G59:G70)</f>
        <v>0.15</v>
      </c>
      <c r="G42" s="179">
        <f>ROUND(IF(E2="工业",C42*$M$42,C42*$M$41),0)</f>
        <v>0</v>
      </c>
      <c r="H42" s="179">
        <f t="shared" si="5"/>
        <v>0</v>
      </c>
      <c r="I42" s="179">
        <f t="shared" si="6"/>
        <v>0</v>
      </c>
      <c r="J42" s="1959"/>
      <c r="L42" s="1960" t="s">
        <v>1993</v>
      </c>
      <c r="M42" s="1961">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c r="A44" s="1057"/>
      <c r="B44" s="1990" t="s">
        <v>2122</v>
      </c>
      <c r="C44" s="333">
        <f>ROUND(POWER(1+E44,H44-G44)*(POWER(1+E44,G44)-1)/(POWER(1+E44,H44)-1),4)</f>
        <v>0</v>
      </c>
      <c r="D44" s="163" t="s">
        <v>1999</v>
      </c>
      <c r="E44" s="1989">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2"/>
      <c r="Z45" s="1057"/>
      <c r="AA45" s="1057"/>
      <c r="AB45" s="1057"/>
      <c r="AC45" s="1057"/>
      <c r="AD45" s="1057"/>
      <c r="AE45" s="1057"/>
      <c r="AF45" s="1057"/>
      <c r="AG45" s="1057"/>
      <c r="AH45" s="1057"/>
      <c r="AI45" s="1057"/>
      <c r="AJ45" s="1057"/>
    </row>
    <row r="46" spans="1:37" s="1056" customFormat="1">
      <c r="A46" s="1057"/>
      <c r="B46" s="1962"/>
      <c r="AA46" s="1057"/>
      <c r="AB46" s="1057"/>
      <c r="AC46" s="1057"/>
      <c r="AD46" s="1057"/>
      <c r="AE46" s="1057"/>
      <c r="AF46" s="1057"/>
      <c r="AG46" s="1057"/>
      <c r="AH46" s="1057"/>
      <c r="AI46" s="1057"/>
      <c r="AJ46" s="1057"/>
      <c r="AK46" s="1057"/>
    </row>
    <row r="47" spans="1:37" s="1056" customFormat="1" ht="15.75" thickBot="1">
      <c r="A47" s="1963" t="s">
        <v>2042</v>
      </c>
      <c r="B47" s="1964"/>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5">
      <c r="A48" s="1965" t="s">
        <v>2043</v>
      </c>
      <c r="B48" s="1966">
        <f>1+E50</f>
        <v>1.0423</v>
      </c>
      <c r="C48" s="1726"/>
      <c r="D48" s="699"/>
      <c r="E48" s="700"/>
      <c r="F48" s="1967"/>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4.75">
      <c r="A49" s="1968" t="s">
        <v>2044</v>
      </c>
      <c r="B49" s="1262" t="s">
        <v>2045</v>
      </c>
      <c r="C49" s="1262" t="s">
        <v>2046</v>
      </c>
      <c r="D49" s="1262" t="s">
        <v>2047</v>
      </c>
      <c r="E49" s="701" t="s">
        <v>2048</v>
      </c>
      <c r="F49" s="1969" t="s">
        <v>2049</v>
      </c>
      <c r="G49" s="1262" t="s">
        <v>310</v>
      </c>
      <c r="H49" s="1970"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8.25">
      <c r="A50" s="1968" t="s">
        <v>2052</v>
      </c>
      <c r="B50" s="1971" t="str">
        <f>估价对象房地状况!C4</f>
        <v>估价对象位于XX商圈，周边商业氛围成熟，人流量大，商业繁华度好</v>
      </c>
      <c r="C50" s="1885" t="s">
        <v>3503</v>
      </c>
      <c r="D50" s="1002">
        <f t="shared" ref="D50:D58" si="7">SUMIF($J$49:$N$49,C50,J50:N50)</f>
        <v>1.47E-2</v>
      </c>
      <c r="E50" s="702">
        <f>ROUND(SUM(D50:D58),4)</f>
        <v>4.2299999999999997E-2</v>
      </c>
      <c r="F50" s="1675">
        <f>IF(E2="商业",SUMIF(L1:L12,G2,N1:N12),"——")</f>
        <v>9.8000000000000004E-2</v>
      </c>
      <c r="G50" s="1000">
        <v>1.47E-2</v>
      </c>
      <c r="H50" s="1003">
        <f t="shared" ref="H50:H58" si="8">IFERROR(ROUNDDOWN($F$50*I50/2,4),"——")</f>
        <v>1.47E-2</v>
      </c>
      <c r="I50" s="3067">
        <v>0.3</v>
      </c>
      <c r="J50" s="1001">
        <f t="shared" ref="J50:J58" si="9">K50+$G50</f>
        <v>2.9399999999999999E-2</v>
      </c>
      <c r="K50" s="1001">
        <f t="shared" ref="K50:K58" si="10">$L50+$G50</f>
        <v>1.47E-2</v>
      </c>
      <c r="L50" s="1001">
        <v>0</v>
      </c>
      <c r="M50" s="1001">
        <f t="shared" ref="M50:N58" si="11">L50-$G50</f>
        <v>-1.47E-2</v>
      </c>
      <c r="N50" s="1001">
        <f t="shared" si="11"/>
        <v>-2.9399999999999999E-2</v>
      </c>
      <c r="AA50" s="1057"/>
      <c r="AB50" s="1057"/>
      <c r="AC50" s="1057"/>
      <c r="AD50" s="1057"/>
      <c r="AE50" s="1057"/>
      <c r="AF50" s="1057"/>
      <c r="AG50" s="1057"/>
      <c r="AH50" s="1057"/>
      <c r="AI50" s="1057"/>
      <c r="AJ50" s="1057"/>
      <c r="AK50" s="1057"/>
    </row>
    <row r="51" spans="1:37" s="1056" customFormat="1" ht="38.25">
      <c r="A51" s="1968" t="s">
        <v>2053</v>
      </c>
      <c r="B51" s="1262" t="str">
        <f>估价对象房地状况!C18</f>
        <v>估价对象周边道路状况、公共交通通达情况、停车便捷程度，综合评价交通便捷度较好</v>
      </c>
      <c r="C51" s="1885" t="s">
        <v>3503</v>
      </c>
      <c r="D51" s="1002">
        <f t="shared" si="7"/>
        <v>1.0699999999999999E-2</v>
      </c>
      <c r="E51" s="703"/>
      <c r="F51" s="1675"/>
      <c r="G51" s="1000">
        <v>1.0699999999999999E-2</v>
      </c>
      <c r="H51" s="1003">
        <f t="shared" si="8"/>
        <v>1.0699999999999999E-2</v>
      </c>
      <c r="I51" s="3067">
        <v>0.22</v>
      </c>
      <c r="J51" s="1001">
        <f t="shared" si="9"/>
        <v>2.1399999999999999E-2</v>
      </c>
      <c r="K51" s="1001">
        <f t="shared" si="10"/>
        <v>1.0699999999999999E-2</v>
      </c>
      <c r="L51" s="1001">
        <v>0</v>
      </c>
      <c r="M51" s="1001">
        <f t="shared" si="11"/>
        <v>-1.0699999999999999E-2</v>
      </c>
      <c r="N51" s="1001">
        <f t="shared" si="11"/>
        <v>-2.1399999999999999E-2</v>
      </c>
      <c r="AA51" s="1057"/>
      <c r="AB51" s="1057"/>
      <c r="AC51" s="1057"/>
      <c r="AD51" s="1057"/>
      <c r="AE51" s="1057"/>
      <c r="AF51" s="1057"/>
      <c r="AG51" s="1057"/>
      <c r="AH51" s="1057"/>
      <c r="AI51" s="1057"/>
      <c r="AJ51" s="1057"/>
      <c r="AK51" s="1057"/>
    </row>
    <row r="52" spans="1:37" s="1056" customFormat="1" ht="36">
      <c r="A52" s="3069" t="s">
        <v>3267</v>
      </c>
      <c r="B52" s="1262">
        <f>估价对象房地状况!C19</f>
        <v>0</v>
      </c>
      <c r="C52" s="1885" t="s">
        <v>3503</v>
      </c>
      <c r="D52" s="1002">
        <f t="shared" si="7"/>
        <v>5.7999999999999996E-3</v>
      </c>
      <c r="E52" s="703"/>
      <c r="F52" s="1675"/>
      <c r="G52" s="1000">
        <v>5.7999999999999996E-3</v>
      </c>
      <c r="H52" s="1003">
        <f t="shared" si="8"/>
        <v>5.7999999999999996E-3</v>
      </c>
      <c r="I52" s="3067">
        <v>0.12</v>
      </c>
      <c r="J52" s="1001">
        <f t="shared" si="9"/>
        <v>1.1599999999999999E-2</v>
      </c>
      <c r="K52" s="1001">
        <f t="shared" si="10"/>
        <v>5.7999999999999996E-3</v>
      </c>
      <c r="L52" s="1001">
        <v>0</v>
      </c>
      <c r="M52" s="1001">
        <f t="shared" si="11"/>
        <v>-5.7999999999999996E-3</v>
      </c>
      <c r="N52" s="1001">
        <f t="shared" si="11"/>
        <v>-1.1599999999999999E-2</v>
      </c>
      <c r="AA52" s="1057"/>
      <c r="AB52" s="1057"/>
      <c r="AC52" s="1057"/>
      <c r="AD52" s="1057"/>
      <c r="AE52" s="1057"/>
      <c r="AF52" s="1057"/>
      <c r="AG52" s="1057"/>
      <c r="AH52" s="1057"/>
      <c r="AI52" s="1057"/>
      <c r="AJ52" s="1057"/>
      <c r="AK52" s="1057"/>
    </row>
    <row r="53" spans="1:37" s="1056" customFormat="1" ht="36.75">
      <c r="A53" s="1968" t="s">
        <v>2054</v>
      </c>
      <c r="B53" s="1972" t="s">
        <v>2055</v>
      </c>
      <c r="C53" s="1885" t="s">
        <v>3502</v>
      </c>
      <c r="D53" s="1002">
        <f t="shared" si="7"/>
        <v>0</v>
      </c>
      <c r="E53" s="703"/>
      <c r="F53" s="1675"/>
      <c r="G53" s="1000">
        <v>2.3999999999999998E-3</v>
      </c>
      <c r="H53" s="1003">
        <f t="shared" si="8"/>
        <v>2.3999999999999998E-3</v>
      </c>
      <c r="I53" s="3067">
        <v>0.05</v>
      </c>
      <c r="J53" s="1001">
        <f t="shared" si="9"/>
        <v>4.7999999999999996E-3</v>
      </c>
      <c r="K53" s="1001">
        <f t="shared" si="10"/>
        <v>2.3999999999999998E-3</v>
      </c>
      <c r="L53" s="1001">
        <v>0</v>
      </c>
      <c r="M53" s="1001">
        <f t="shared" si="11"/>
        <v>-2.3999999999999998E-3</v>
      </c>
      <c r="N53" s="1001">
        <f t="shared" si="11"/>
        <v>-4.7999999999999996E-3</v>
      </c>
      <c r="AA53" s="1057"/>
      <c r="AB53" s="1057"/>
      <c r="AC53" s="1057"/>
      <c r="AD53" s="1057"/>
      <c r="AE53" s="1057"/>
      <c r="AF53" s="1057"/>
      <c r="AG53" s="1057"/>
      <c r="AH53" s="1057"/>
      <c r="AI53" s="1057"/>
      <c r="AJ53" s="1057"/>
      <c r="AK53" s="1057"/>
    </row>
    <row r="54" spans="1:37" s="1056" customFormat="1" ht="24">
      <c r="A54" s="1968" t="s">
        <v>2056</v>
      </c>
      <c r="B54" s="1262">
        <f>估价对象房地状况!C24</f>
        <v>0</v>
      </c>
      <c r="C54" s="1885" t="s">
        <v>3502</v>
      </c>
      <c r="D54" s="1002">
        <f t="shared" si="7"/>
        <v>0</v>
      </c>
      <c r="E54" s="703"/>
      <c r="F54" s="1675"/>
      <c r="G54" s="1000">
        <v>3.8999999999999998E-3</v>
      </c>
      <c r="H54" s="1003">
        <f t="shared" si="8"/>
        <v>3.8999999999999998E-3</v>
      </c>
      <c r="I54" s="3067">
        <v>0.08</v>
      </c>
      <c r="J54" s="1001">
        <f t="shared" si="9"/>
        <v>7.7999999999999996E-3</v>
      </c>
      <c r="K54" s="1001">
        <f t="shared" si="10"/>
        <v>3.8999999999999998E-3</v>
      </c>
      <c r="L54" s="1001">
        <v>0</v>
      </c>
      <c r="M54" s="1001">
        <f t="shared" si="11"/>
        <v>-3.8999999999999998E-3</v>
      </c>
      <c r="N54" s="1001">
        <f t="shared" si="11"/>
        <v>-7.7999999999999996E-3</v>
      </c>
      <c r="AA54" s="1057"/>
      <c r="AB54" s="1057"/>
      <c r="AC54" s="1057"/>
      <c r="AD54" s="1057"/>
      <c r="AE54" s="1057"/>
      <c r="AF54" s="1057"/>
      <c r="AG54" s="1057"/>
      <c r="AH54" s="1057"/>
      <c r="AI54" s="1057"/>
      <c r="AJ54" s="1057"/>
      <c r="AK54" s="1057"/>
    </row>
    <row r="55" spans="1:37" s="1056" customFormat="1" ht="24">
      <c r="A55" s="1968" t="s">
        <v>2057</v>
      </c>
      <c r="B55" s="1973" t="s">
        <v>2058</v>
      </c>
      <c r="C55" s="1885" t="s">
        <v>3503</v>
      </c>
      <c r="D55" s="1002">
        <f t="shared" si="7"/>
        <v>2.3999999999999998E-3</v>
      </c>
      <c r="E55" s="703"/>
      <c r="F55" s="1675"/>
      <c r="G55" s="1000">
        <v>2.3999999999999998E-3</v>
      </c>
      <c r="H55" s="1003">
        <f t="shared" si="8"/>
        <v>2.3999999999999998E-3</v>
      </c>
      <c r="I55" s="3067">
        <v>0.05</v>
      </c>
      <c r="J55" s="1001">
        <f t="shared" si="9"/>
        <v>4.7999999999999996E-3</v>
      </c>
      <c r="K55" s="1001">
        <f t="shared" si="10"/>
        <v>2.3999999999999998E-3</v>
      </c>
      <c r="L55" s="1001">
        <v>0</v>
      </c>
      <c r="M55" s="1001">
        <f t="shared" si="11"/>
        <v>-2.3999999999999998E-3</v>
      </c>
      <c r="N55" s="1001">
        <f t="shared" si="11"/>
        <v>-4.7999999999999996E-3</v>
      </c>
      <c r="AA55" s="1057"/>
      <c r="AB55" s="1057"/>
      <c r="AC55" s="1057"/>
      <c r="AD55" s="1057"/>
      <c r="AE55" s="1057"/>
      <c r="AF55" s="1057"/>
      <c r="AG55" s="1057"/>
      <c r="AH55" s="1057"/>
      <c r="AI55" s="1057"/>
      <c r="AJ55" s="1057"/>
      <c r="AK55" s="1057"/>
    </row>
    <row r="56" spans="1:37" s="1056" customFormat="1" ht="25.5">
      <c r="A56" s="1974" t="s">
        <v>2059</v>
      </c>
      <c r="B56" s="1240" t="str">
        <f>估价对象房地状况!C21</f>
        <v>估价对象所在区域公共配套设施齐备情况</v>
      </c>
      <c r="C56" s="1885" t="s">
        <v>3503</v>
      </c>
      <c r="D56" s="1002">
        <f t="shared" si="7"/>
        <v>2.3999999999999998E-3</v>
      </c>
      <c r="E56" s="703"/>
      <c r="F56" s="1675"/>
      <c r="G56" s="1000">
        <v>2.3999999999999998E-3</v>
      </c>
      <c r="H56" s="1003">
        <f t="shared" si="8"/>
        <v>2.3999999999999998E-3</v>
      </c>
      <c r="I56" s="3067">
        <v>0.05</v>
      </c>
      <c r="J56" s="1001">
        <f t="shared" si="9"/>
        <v>4.7999999999999996E-3</v>
      </c>
      <c r="K56" s="1001">
        <f t="shared" si="10"/>
        <v>2.3999999999999998E-3</v>
      </c>
      <c r="L56" s="1001">
        <v>0</v>
      </c>
      <c r="M56" s="1001">
        <f t="shared" si="11"/>
        <v>-2.3999999999999998E-3</v>
      </c>
      <c r="N56" s="1001">
        <f t="shared" si="11"/>
        <v>-4.7999999999999996E-3</v>
      </c>
      <c r="AA56" s="1057"/>
      <c r="AB56" s="1057"/>
      <c r="AC56" s="1057"/>
      <c r="AD56" s="1057"/>
      <c r="AE56" s="1057"/>
      <c r="AF56" s="1057"/>
      <c r="AG56" s="1057"/>
      <c r="AH56" s="1057"/>
      <c r="AI56" s="1057"/>
      <c r="AJ56" s="1057"/>
      <c r="AK56" s="1057"/>
    </row>
    <row r="57" spans="1:37" s="1056" customFormat="1" ht="25.5">
      <c r="A57" s="1974" t="s">
        <v>2060</v>
      </c>
      <c r="B57" s="1262" t="str">
        <f>估价对象房地状况!C22</f>
        <v>估价对象所在区域基础设施水平</v>
      </c>
      <c r="C57" s="1885" t="s">
        <v>3503</v>
      </c>
      <c r="D57" s="1002">
        <f t="shared" si="7"/>
        <v>3.8999999999999998E-3</v>
      </c>
      <c r="E57" s="703"/>
      <c r="F57" s="1675"/>
      <c r="G57" s="1000">
        <v>3.8999999999999998E-3</v>
      </c>
      <c r="H57" s="1003">
        <f t="shared" si="8"/>
        <v>3.8999999999999998E-3</v>
      </c>
      <c r="I57" s="3067">
        <v>0.08</v>
      </c>
      <c r="J57" s="1001">
        <f t="shared" si="9"/>
        <v>7.7999999999999996E-3</v>
      </c>
      <c r="K57" s="1001">
        <f t="shared" si="10"/>
        <v>3.8999999999999998E-3</v>
      </c>
      <c r="L57" s="1001">
        <v>0</v>
      </c>
      <c r="M57" s="1001">
        <f t="shared" si="11"/>
        <v>-3.8999999999999998E-3</v>
      </c>
      <c r="N57" s="1001">
        <f t="shared" si="11"/>
        <v>-7.7999999999999996E-3</v>
      </c>
      <c r="AA57" s="1057"/>
      <c r="AB57" s="1057"/>
      <c r="AC57" s="1057"/>
      <c r="AD57" s="1057"/>
      <c r="AE57" s="1057"/>
      <c r="AF57" s="1057"/>
      <c r="AG57" s="1057"/>
      <c r="AH57" s="1057"/>
      <c r="AI57" s="1057"/>
      <c r="AJ57" s="1057"/>
      <c r="AK57" s="1057"/>
    </row>
    <row r="58" spans="1:37" s="1056" customFormat="1" ht="26.25" thickBot="1">
      <c r="A58" s="1975" t="s">
        <v>2061</v>
      </c>
      <c r="B58" s="1976" t="str">
        <f>估价对象房地状况!C20</f>
        <v>区域自然环境：；人文环境；综合评价环境状况一般</v>
      </c>
      <c r="C58" s="1885" t="s">
        <v>3503</v>
      </c>
      <c r="D58" s="1002">
        <f t="shared" si="7"/>
        <v>2.3999999999999998E-3</v>
      </c>
      <c r="E58" s="704"/>
      <c r="F58" s="1675"/>
      <c r="G58" s="1000">
        <v>2.3999999999999998E-3</v>
      </c>
      <c r="H58" s="1003">
        <f t="shared" si="8"/>
        <v>2.3999999999999998E-3</v>
      </c>
      <c r="I58" s="3068">
        <v>0.05</v>
      </c>
      <c r="J58" s="1001">
        <f t="shared" si="9"/>
        <v>4.7999999999999996E-3</v>
      </c>
      <c r="K58" s="1001">
        <f t="shared" si="10"/>
        <v>2.3999999999999998E-3</v>
      </c>
      <c r="L58" s="1001">
        <v>0</v>
      </c>
      <c r="M58" s="1001">
        <f t="shared" si="11"/>
        <v>-2.3999999999999998E-3</v>
      </c>
      <c r="N58" s="1001">
        <f t="shared" si="11"/>
        <v>-4.7999999999999996E-3</v>
      </c>
      <c r="AA58" s="1057"/>
      <c r="AB58" s="1057"/>
      <c r="AC58" s="1057"/>
      <c r="AD58" s="1057"/>
      <c r="AE58" s="1057"/>
      <c r="AF58" s="1057"/>
      <c r="AG58" s="1057"/>
      <c r="AH58" s="1057"/>
      <c r="AI58" s="1057"/>
      <c r="AJ58" s="1057"/>
      <c r="AK58" s="1057"/>
    </row>
    <row r="59" spans="1:37" s="1056" customFormat="1" ht="15">
      <c r="A59" s="1965" t="s">
        <v>2062</v>
      </c>
      <c r="B59" s="1966">
        <f>1+E61</f>
        <v>1</v>
      </c>
      <c r="C59" s="699"/>
      <c r="D59" s="699"/>
      <c r="E59" s="700"/>
      <c r="F59" s="1967"/>
      <c r="G59" s="3"/>
      <c r="H59" s="3"/>
      <c r="I59" s="3"/>
      <c r="J59" s="4"/>
      <c r="K59" s="4"/>
      <c r="L59" s="4"/>
      <c r="M59" s="4"/>
      <c r="N59" s="4"/>
      <c r="AA59" s="1057"/>
      <c r="AB59" s="1057"/>
      <c r="AC59" s="1057"/>
      <c r="AD59" s="1057"/>
      <c r="AE59" s="1057"/>
      <c r="AF59" s="1057"/>
      <c r="AG59" s="1057"/>
      <c r="AH59" s="1057"/>
      <c r="AI59" s="1057"/>
      <c r="AJ59" s="1057"/>
      <c r="AK59" s="1057"/>
    </row>
    <row r="60" spans="1:37" s="1056" customFormat="1" ht="24.75">
      <c r="A60" s="1968" t="s">
        <v>2044</v>
      </c>
      <c r="B60" s="1262"/>
      <c r="C60" s="1262" t="s">
        <v>2046</v>
      </c>
      <c r="D60" s="1262" t="s">
        <v>2047</v>
      </c>
      <c r="E60" s="701" t="s">
        <v>2048</v>
      </c>
      <c r="F60" s="1969" t="s">
        <v>2063</v>
      </c>
      <c r="G60" s="1262" t="s">
        <v>310</v>
      </c>
      <c r="H60" s="1970"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8.25">
      <c r="A61" s="1968" t="s">
        <v>2064</v>
      </c>
      <c r="B61" s="1971" t="str">
        <f>估价对象房地状况!C17</f>
        <v>估价对象位于XX商圈，周边办公楼项目较多，入驻率高，办公集聚程度较好</v>
      </c>
      <c r="C61" s="1885"/>
      <c r="D61" s="1002">
        <f t="shared" ref="D61:D69" si="12">SUMIF($J$60:$N$60,C61,J61:N61)</f>
        <v>0</v>
      </c>
      <c r="E61" s="702">
        <f>ROUND(SUM(D61:D69),4)</f>
        <v>0</v>
      </c>
      <c r="F61" s="1675" t="str">
        <f>IF(E2="办公",SUMIF(L1:L12,G2,N1:N12),"——")</f>
        <v>——</v>
      </c>
      <c r="G61" s="1000"/>
      <c r="H61" s="1003" t="str">
        <f t="shared" ref="H61:H69" si="13">IFERROR(ROUNDDOWN($F$61*I61/2,4),"——")</f>
        <v>——</v>
      </c>
      <c r="I61" s="3067">
        <v>0.25</v>
      </c>
      <c r="J61" s="1001">
        <f t="shared" ref="J61:J69" si="14">K61+$G61</f>
        <v>0</v>
      </c>
      <c r="K61" s="1001">
        <f t="shared" ref="K61:K69" si="15">$L61+$G61</f>
        <v>0</v>
      </c>
      <c r="L61" s="1001">
        <v>0</v>
      </c>
      <c r="M61" s="1001">
        <f t="shared" ref="M61:N69" si="16">L61-$G61</f>
        <v>0</v>
      </c>
      <c r="N61" s="1001">
        <f t="shared" si="16"/>
        <v>0</v>
      </c>
      <c r="AA61" s="1057"/>
      <c r="AB61" s="1057"/>
      <c r="AC61" s="1057"/>
      <c r="AD61" s="1057"/>
      <c r="AE61" s="1057"/>
      <c r="AF61" s="1057"/>
      <c r="AG61" s="1057"/>
      <c r="AH61" s="1057"/>
      <c r="AI61" s="1057"/>
      <c r="AJ61" s="1057"/>
      <c r="AK61" s="1057"/>
    </row>
    <row r="62" spans="1:37" s="1056" customFormat="1" ht="38.25">
      <c r="A62" s="1968" t="s">
        <v>2053</v>
      </c>
      <c r="B62" s="1262" t="str">
        <f>估价对象房地状况!C18</f>
        <v>估价对象周边道路状况、公共交通通达情况、停车便捷程度，综合评价交通便捷度较好</v>
      </c>
      <c r="C62" s="1885"/>
      <c r="D62" s="1002">
        <f t="shared" si="12"/>
        <v>0</v>
      </c>
      <c r="E62" s="703"/>
      <c r="F62" s="1675"/>
      <c r="G62" s="1000"/>
      <c r="H62" s="1003" t="str">
        <f t="shared" si="13"/>
        <v>——</v>
      </c>
      <c r="I62" s="3067">
        <v>0.26</v>
      </c>
      <c r="J62" s="1001">
        <f t="shared" si="14"/>
        <v>0</v>
      </c>
      <c r="K62" s="1001">
        <f t="shared" si="15"/>
        <v>0</v>
      </c>
      <c r="L62" s="1001">
        <v>0</v>
      </c>
      <c r="M62" s="1001">
        <f t="shared" si="16"/>
        <v>0</v>
      </c>
      <c r="N62" s="1001">
        <f t="shared" si="16"/>
        <v>0</v>
      </c>
      <c r="AA62" s="1057"/>
      <c r="AB62" s="1057"/>
      <c r="AC62" s="1057"/>
      <c r="AD62" s="1057"/>
      <c r="AE62" s="1057"/>
      <c r="AF62" s="1057"/>
      <c r="AG62" s="1057"/>
      <c r="AH62" s="1057"/>
      <c r="AI62" s="1057"/>
      <c r="AJ62" s="1057"/>
      <c r="AK62" s="1057"/>
    </row>
    <row r="63" spans="1:37" s="1056" customFormat="1" ht="36">
      <c r="A63" s="3069" t="s">
        <v>3267</v>
      </c>
      <c r="B63" s="1262">
        <f>估价对象房地状况!C19</f>
        <v>0</v>
      </c>
      <c r="C63" s="1885"/>
      <c r="D63" s="1002">
        <f t="shared" si="12"/>
        <v>0</v>
      </c>
      <c r="E63" s="703"/>
      <c r="F63" s="1675"/>
      <c r="G63" s="1000"/>
      <c r="H63" s="1003" t="str">
        <f t="shared" si="13"/>
        <v>——</v>
      </c>
      <c r="I63" s="3067">
        <v>0.11</v>
      </c>
      <c r="J63" s="1001">
        <f t="shared" si="14"/>
        <v>0</v>
      </c>
      <c r="K63" s="1001">
        <f t="shared" si="15"/>
        <v>0</v>
      </c>
      <c r="L63" s="1001">
        <v>0</v>
      </c>
      <c r="M63" s="1001">
        <f t="shared" si="16"/>
        <v>0</v>
      </c>
      <c r="N63" s="1001">
        <f t="shared" si="16"/>
        <v>0</v>
      </c>
      <c r="AA63" s="1057"/>
      <c r="AB63" s="1057"/>
      <c r="AC63" s="1057"/>
      <c r="AD63" s="1057"/>
      <c r="AE63" s="1057"/>
      <c r="AF63" s="1057"/>
      <c r="AG63" s="1057"/>
      <c r="AH63" s="1057"/>
      <c r="AI63" s="1057"/>
      <c r="AJ63" s="1057"/>
      <c r="AK63" s="1057"/>
    </row>
    <row r="64" spans="1:37" s="1056" customFormat="1" ht="36.75">
      <c r="A64" s="1968" t="s">
        <v>2054</v>
      </c>
      <c r="B64" s="1972" t="s">
        <v>2055</v>
      </c>
      <c r="C64" s="1885"/>
      <c r="D64" s="1002">
        <f t="shared" si="12"/>
        <v>0</v>
      </c>
      <c r="E64" s="703"/>
      <c r="F64" s="1675"/>
      <c r="G64" s="1000"/>
      <c r="H64" s="1003" t="str">
        <f t="shared" si="13"/>
        <v>——</v>
      </c>
      <c r="I64" s="3067">
        <v>0.05</v>
      </c>
      <c r="J64" s="1001">
        <f t="shared" si="14"/>
        <v>0</v>
      </c>
      <c r="K64" s="1001">
        <f t="shared" si="15"/>
        <v>0</v>
      </c>
      <c r="L64" s="1001">
        <v>0</v>
      </c>
      <c r="M64" s="1001">
        <f t="shared" si="16"/>
        <v>0</v>
      </c>
      <c r="N64" s="1001">
        <f t="shared" si="16"/>
        <v>0</v>
      </c>
      <c r="AA64" s="1057"/>
      <c r="AB64" s="1057"/>
      <c r="AC64" s="1057"/>
      <c r="AD64" s="1057"/>
      <c r="AE64" s="1057"/>
      <c r="AF64" s="1057"/>
      <c r="AG64" s="1057"/>
      <c r="AH64" s="1057"/>
      <c r="AI64" s="1057"/>
      <c r="AJ64" s="1057"/>
      <c r="AK64" s="1057"/>
    </row>
    <row r="65" spans="1:37" s="1056" customFormat="1" ht="24">
      <c r="A65" s="1968" t="s">
        <v>2056</v>
      </c>
      <c r="B65" s="1262">
        <f>估价对象房地状况!C24</f>
        <v>0</v>
      </c>
      <c r="C65" s="1885"/>
      <c r="D65" s="1002">
        <f t="shared" si="12"/>
        <v>0</v>
      </c>
      <c r="E65" s="703"/>
      <c r="F65" s="1675"/>
      <c r="G65" s="1000"/>
      <c r="H65" s="1003" t="str">
        <f t="shared" si="13"/>
        <v>——</v>
      </c>
      <c r="I65" s="3067">
        <v>0.05</v>
      </c>
      <c r="J65" s="1001">
        <f t="shared" si="14"/>
        <v>0</v>
      </c>
      <c r="K65" s="1001">
        <f t="shared" si="15"/>
        <v>0</v>
      </c>
      <c r="L65" s="1001">
        <v>0</v>
      </c>
      <c r="M65" s="1001">
        <f t="shared" si="16"/>
        <v>0</v>
      </c>
      <c r="N65" s="1001">
        <f t="shared" si="16"/>
        <v>0</v>
      </c>
      <c r="AA65" s="1057"/>
      <c r="AB65" s="1057"/>
      <c r="AC65" s="1057"/>
      <c r="AD65" s="1057"/>
      <c r="AE65" s="1057"/>
      <c r="AF65" s="1057"/>
      <c r="AG65" s="1057"/>
      <c r="AH65" s="1057"/>
      <c r="AI65" s="1057"/>
      <c r="AJ65" s="1057"/>
      <c r="AK65" s="1057"/>
    </row>
    <row r="66" spans="1:37" s="1056" customFormat="1" ht="24">
      <c r="A66" s="1968" t="s">
        <v>2057</v>
      </c>
      <c r="B66" s="1973" t="s">
        <v>2058</v>
      </c>
      <c r="C66" s="1885"/>
      <c r="D66" s="1002">
        <f t="shared" si="12"/>
        <v>0</v>
      </c>
      <c r="E66" s="703"/>
      <c r="F66" s="1675"/>
      <c r="G66" s="1000"/>
      <c r="H66" s="1003" t="str">
        <f t="shared" si="13"/>
        <v>——</v>
      </c>
      <c r="I66" s="3067">
        <v>0.06</v>
      </c>
      <c r="J66" s="1001">
        <f t="shared" si="14"/>
        <v>0</v>
      </c>
      <c r="K66" s="1001">
        <f t="shared" si="15"/>
        <v>0</v>
      </c>
      <c r="L66" s="1001">
        <v>0</v>
      </c>
      <c r="M66" s="1001">
        <f t="shared" si="16"/>
        <v>0</v>
      </c>
      <c r="N66" s="1001">
        <f t="shared" si="16"/>
        <v>0</v>
      </c>
      <c r="AA66" s="1057"/>
      <c r="AB66" s="1057"/>
      <c r="AC66" s="1057"/>
      <c r="AD66" s="1057"/>
      <c r="AE66" s="1057"/>
      <c r="AF66" s="1057"/>
      <c r="AG66" s="1057"/>
      <c r="AH66" s="1057"/>
      <c r="AI66" s="1057"/>
      <c r="AJ66" s="1057"/>
      <c r="AK66" s="1057"/>
    </row>
    <row r="67" spans="1:37" s="1056" customFormat="1" ht="25.5">
      <c r="A67" s="1968" t="s">
        <v>2059</v>
      </c>
      <c r="B67" s="1240" t="str">
        <f>估价对象房地状况!C21</f>
        <v>估价对象所在区域公共配套设施齐备情况</v>
      </c>
      <c r="C67" s="1885"/>
      <c r="D67" s="1002">
        <f t="shared" si="12"/>
        <v>0</v>
      </c>
      <c r="E67" s="703"/>
      <c r="F67" s="1675"/>
      <c r="G67" s="1000"/>
      <c r="H67" s="1003" t="str">
        <f t="shared" si="13"/>
        <v>——</v>
      </c>
      <c r="I67" s="3067">
        <v>0.06</v>
      </c>
      <c r="J67" s="1001">
        <f t="shared" si="14"/>
        <v>0</v>
      </c>
      <c r="K67" s="1001">
        <f t="shared" si="15"/>
        <v>0</v>
      </c>
      <c r="L67" s="1001">
        <v>0</v>
      </c>
      <c r="M67" s="1001">
        <f t="shared" si="16"/>
        <v>0</v>
      </c>
      <c r="N67" s="1001">
        <f t="shared" si="16"/>
        <v>0</v>
      </c>
      <c r="AA67" s="1057"/>
      <c r="AB67" s="1057"/>
      <c r="AC67" s="1057"/>
      <c r="AD67" s="1057"/>
      <c r="AE67" s="1057"/>
      <c r="AF67" s="1057"/>
      <c r="AG67" s="1057"/>
      <c r="AH67" s="1057"/>
      <c r="AI67" s="1057"/>
      <c r="AJ67" s="1057"/>
      <c r="AK67" s="1057"/>
    </row>
    <row r="68" spans="1:37" s="1056" customFormat="1" ht="25.5">
      <c r="A68" s="1968" t="s">
        <v>2060</v>
      </c>
      <c r="B68" s="1240" t="str">
        <f>估价对象房地状况!C22</f>
        <v>估价对象所在区域基础设施水平</v>
      </c>
      <c r="C68" s="1885"/>
      <c r="D68" s="1002">
        <f t="shared" si="12"/>
        <v>0</v>
      </c>
      <c r="E68" s="703"/>
      <c r="F68" s="1675"/>
      <c r="G68" s="1000"/>
      <c r="H68" s="1003" t="str">
        <f t="shared" si="13"/>
        <v>——</v>
      </c>
      <c r="I68" s="3067">
        <v>0.09</v>
      </c>
      <c r="J68" s="1001">
        <f t="shared" si="14"/>
        <v>0</v>
      </c>
      <c r="K68" s="1001">
        <f t="shared" si="15"/>
        <v>0</v>
      </c>
      <c r="L68" s="1001">
        <v>0</v>
      </c>
      <c r="M68" s="1001">
        <f t="shared" si="16"/>
        <v>0</v>
      </c>
      <c r="N68" s="1001">
        <f t="shared" si="16"/>
        <v>0</v>
      </c>
      <c r="AA68" s="1057"/>
      <c r="AB68" s="1057"/>
      <c r="AC68" s="1057"/>
      <c r="AD68" s="1057"/>
      <c r="AE68" s="1057"/>
      <c r="AF68" s="1057"/>
      <c r="AG68" s="1057"/>
      <c r="AH68" s="1057"/>
      <c r="AI68" s="1057"/>
      <c r="AJ68" s="1057"/>
      <c r="AK68" s="1057"/>
    </row>
    <row r="69" spans="1:37" s="1056" customFormat="1" ht="26.25" thickBot="1">
      <c r="A69" s="1975" t="s">
        <v>2061</v>
      </c>
      <c r="B69" s="1977" t="str">
        <f>估价对象房地状况!C20</f>
        <v>区域自然环境：；人文环境；综合评价环境状况一般</v>
      </c>
      <c r="C69" s="1885"/>
      <c r="D69" s="1002">
        <f t="shared" si="12"/>
        <v>0</v>
      </c>
      <c r="E69" s="704"/>
      <c r="F69" s="1675"/>
      <c r="G69" s="1000"/>
      <c r="H69" s="1003" t="str">
        <f t="shared" si="13"/>
        <v>——</v>
      </c>
      <c r="I69" s="3068">
        <v>7.0000000000000007E-2</v>
      </c>
      <c r="J69" s="1001">
        <f t="shared" si="14"/>
        <v>0</v>
      </c>
      <c r="K69" s="1001">
        <f t="shared" si="15"/>
        <v>0</v>
      </c>
      <c r="L69" s="1001">
        <v>0</v>
      </c>
      <c r="M69" s="1001">
        <f t="shared" si="16"/>
        <v>0</v>
      </c>
      <c r="N69" s="1001">
        <f t="shared" si="16"/>
        <v>0</v>
      </c>
      <c r="AA69" s="1057"/>
      <c r="AB69" s="1057"/>
      <c r="AC69" s="1057"/>
      <c r="AD69" s="1057"/>
      <c r="AE69" s="1057"/>
      <c r="AF69" s="1057"/>
      <c r="AG69" s="1057"/>
      <c r="AH69" s="1057"/>
      <c r="AI69" s="1057"/>
      <c r="AJ69" s="1057"/>
      <c r="AK69" s="1057"/>
    </row>
    <row r="70" spans="1:37" s="1056" customFormat="1" ht="15">
      <c r="A70" s="1965" t="s">
        <v>2065</v>
      </c>
      <c r="B70" s="1966">
        <f>1+E72</f>
        <v>1</v>
      </c>
      <c r="C70" s="699"/>
      <c r="D70" s="699"/>
      <c r="E70" s="700"/>
      <c r="F70" s="1967"/>
      <c r="G70" s="3"/>
      <c r="H70" s="3"/>
      <c r="I70" s="3"/>
      <c r="J70" s="4"/>
      <c r="K70" s="4"/>
      <c r="L70" s="4"/>
      <c r="M70" s="4"/>
      <c r="N70" s="4"/>
      <c r="AA70" s="1057"/>
      <c r="AB70" s="1057"/>
      <c r="AC70" s="1057"/>
      <c r="AD70" s="1057"/>
      <c r="AE70" s="1057"/>
      <c r="AF70" s="1057"/>
      <c r="AG70" s="1057"/>
      <c r="AH70" s="1057"/>
      <c r="AI70" s="1057"/>
      <c r="AJ70" s="1057"/>
      <c r="AK70" s="1057"/>
    </row>
    <row r="71" spans="1:37" s="1056" customFormat="1" ht="24.75">
      <c r="A71" s="1968" t="s">
        <v>2044</v>
      </c>
      <c r="B71" s="1262"/>
      <c r="C71" s="1262" t="s">
        <v>2046</v>
      </c>
      <c r="D71" s="1262" t="s">
        <v>2047</v>
      </c>
      <c r="E71" s="701" t="s">
        <v>2048</v>
      </c>
      <c r="F71" s="1969" t="s">
        <v>2063</v>
      </c>
      <c r="G71" s="1262" t="s">
        <v>310</v>
      </c>
      <c r="H71" s="1970"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1">
      <c r="A72" s="1968" t="s">
        <v>2066</v>
      </c>
      <c r="B72" s="1971" t="str">
        <f>估价对象房地状况!C15</f>
        <v>估价对象周边居住用地比例、居住小区规模和社区发展完善程度，综合评价居住社区成熟度一般</v>
      </c>
      <c r="C72" s="1885"/>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38.25">
      <c r="A73" s="1968" t="s">
        <v>2053</v>
      </c>
      <c r="B73" s="1262" t="str">
        <f>估价对象房地状况!C18</f>
        <v>估价对象周边道路状况、公共交通通达情况、停车便捷程度，综合评价交通便捷度较好</v>
      </c>
      <c r="C73" s="1885"/>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2" customFormat="1" ht="36">
      <c r="A74" s="3069" t="s">
        <v>3267</v>
      </c>
      <c r="B74" s="1262">
        <f>估价对象房地状况!C19</f>
        <v>0</v>
      </c>
      <c r="C74" s="1885"/>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78"/>
      <c r="AB74" s="1057"/>
      <c r="AC74" s="1057"/>
      <c r="AD74" s="1057"/>
      <c r="AE74" s="1057"/>
      <c r="AF74" s="1057"/>
      <c r="AG74" s="1057"/>
      <c r="AH74" s="1978"/>
      <c r="AI74" s="1978"/>
      <c r="AJ74" s="1978"/>
      <c r="AK74" s="1978"/>
    </row>
    <row r="75" spans="1:37" ht="14.25">
      <c r="A75" s="1968" t="s">
        <v>2067</v>
      </c>
      <c r="B75" s="1262">
        <f>估价对象房地状况!C24</f>
        <v>0</v>
      </c>
      <c r="C75" s="1885"/>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2"/>
      <c r="Z75" s="1843"/>
      <c r="AA75" s="1893"/>
      <c r="AG75" s="1058"/>
      <c r="AK75" s="1893"/>
    </row>
    <row r="76" spans="1:37" ht="25.5">
      <c r="A76" s="1968" t="s">
        <v>2059</v>
      </c>
      <c r="B76" s="1240" t="str">
        <f>估价对象房地状况!C21</f>
        <v>估价对象所在区域公共配套设施齐备情况</v>
      </c>
      <c r="C76" s="1885"/>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3"/>
      <c r="AA76" s="1893"/>
      <c r="AG76" s="1058"/>
      <c r="AK76" s="1893"/>
    </row>
    <row r="77" spans="1:37" ht="25.5">
      <c r="A77" s="1968" t="s">
        <v>2060</v>
      </c>
      <c r="B77" s="1240" t="str">
        <f>估价对象房地状况!C22</f>
        <v>估价对象所在区域基础设施水平</v>
      </c>
      <c r="C77" s="1885"/>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3"/>
      <c r="AA77" s="1893"/>
      <c r="AG77" s="1058"/>
      <c r="AK77" s="1893"/>
    </row>
    <row r="78" spans="1:37" ht="24">
      <c r="A78" s="1968" t="s">
        <v>2057</v>
      </c>
      <c r="B78" s="1973" t="s">
        <v>2058</v>
      </c>
      <c r="C78" s="1885"/>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2"/>
      <c r="P78" s="1842"/>
      <c r="Z78" s="1843"/>
      <c r="AA78" s="1893"/>
      <c r="AG78" s="1058"/>
      <c r="AK78" s="1893"/>
    </row>
    <row r="79" spans="1:37" ht="25.5">
      <c r="A79" s="1968" t="s">
        <v>2061</v>
      </c>
      <c r="B79" s="1971" t="str">
        <f>估价对象房地状况!C20</f>
        <v>区域自然环境：；人文环境；综合评价环境状况一般</v>
      </c>
      <c r="C79" s="1885"/>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3"/>
      <c r="AA79" s="1893"/>
      <c r="AG79" s="1058"/>
      <c r="AK79" s="1893"/>
    </row>
    <row r="80" spans="1:37" ht="24.75" thickBot="1">
      <c r="A80" s="1975" t="s">
        <v>2068</v>
      </c>
      <c r="B80" s="1979"/>
      <c r="C80" s="1885"/>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3"/>
      <c r="AA80" s="1893"/>
      <c r="AG80" s="1058"/>
      <c r="AK80" s="1893"/>
    </row>
    <row r="81" spans="1:37" ht="15">
      <c r="A81" s="1965" t="s">
        <v>2069</v>
      </c>
      <c r="B81" s="1966">
        <f>1+E83</f>
        <v>1</v>
      </c>
      <c r="C81" s="699"/>
      <c r="D81" s="699"/>
      <c r="E81" s="700"/>
      <c r="F81" s="1967"/>
      <c r="G81" s="3"/>
      <c r="H81" s="3"/>
      <c r="I81" s="3"/>
      <c r="J81" s="4"/>
      <c r="K81" s="4"/>
      <c r="L81" s="4"/>
      <c r="M81" s="4"/>
      <c r="N81" s="4"/>
      <c r="Z81" s="1843"/>
      <c r="AA81" s="1893"/>
      <c r="AG81" s="1058"/>
      <c r="AK81" s="1893"/>
    </row>
    <row r="82" spans="1:37" ht="24.75">
      <c r="A82" s="1968" t="s">
        <v>2044</v>
      </c>
      <c r="B82" s="1262"/>
      <c r="C82" s="1262" t="s">
        <v>2046</v>
      </c>
      <c r="D82" s="1262" t="s">
        <v>2047</v>
      </c>
      <c r="E82" s="701" t="s">
        <v>2048</v>
      </c>
      <c r="F82" s="1969" t="s">
        <v>2063</v>
      </c>
      <c r="G82" s="1262" t="s">
        <v>310</v>
      </c>
      <c r="H82" s="1970" t="s">
        <v>2050</v>
      </c>
      <c r="I82" s="1262" t="s">
        <v>2051</v>
      </c>
      <c r="J82" s="530" t="s">
        <v>1721</v>
      </c>
      <c r="K82" s="530" t="s">
        <v>1722</v>
      </c>
      <c r="L82" s="530" t="s">
        <v>1723</v>
      </c>
      <c r="M82" s="530" t="s">
        <v>1724</v>
      </c>
      <c r="N82" s="530" t="s">
        <v>1725</v>
      </c>
      <c r="Z82" s="1843"/>
      <c r="AA82" s="1893"/>
      <c r="AG82" s="1058"/>
      <c r="AK82" s="1893"/>
    </row>
    <row r="83" spans="1:37" ht="38.25">
      <c r="A83" s="1968" t="s">
        <v>2070</v>
      </c>
      <c r="B83" s="1262" t="str">
        <f>估价对象房地状况!G15</f>
        <v>估价对象位于XX开发区，园区建设成熟度XX，产业集聚程度XX</v>
      </c>
      <c r="C83" s="1885"/>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3"/>
      <c r="AA83" s="1893"/>
      <c r="AG83" s="1058"/>
      <c r="AK83" s="1893"/>
    </row>
    <row r="84" spans="1:37" ht="38.25">
      <c r="A84" s="1968" t="s">
        <v>2053</v>
      </c>
      <c r="B84" s="1262" t="str">
        <f>估价对象房地状况!G16</f>
        <v>估价对象周边道路状况、公共交通通达情况、停车便捷程度，综合评价交通便捷度较好</v>
      </c>
      <c r="C84" s="1885"/>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3"/>
      <c r="AA84" s="1893"/>
      <c r="AG84" s="1058"/>
      <c r="AK84" s="1893"/>
    </row>
    <row r="85" spans="1:37" ht="36">
      <c r="A85" s="3069" t="s">
        <v>3268</v>
      </c>
      <c r="B85" s="1262">
        <f>估价对象房地状况!G17</f>
        <v>0</v>
      </c>
      <c r="C85" s="1885"/>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3"/>
      <c r="AA85" s="1893"/>
      <c r="AG85" s="1058"/>
      <c r="AK85" s="1893"/>
    </row>
    <row r="86" spans="1:37" ht="14.25">
      <c r="A86" s="1968" t="s">
        <v>2067</v>
      </c>
      <c r="B86" s="1262">
        <f>估价对象房地状况!G22</f>
        <v>0</v>
      </c>
      <c r="C86" s="1885"/>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3"/>
      <c r="AA86" s="1893"/>
      <c r="AG86" s="1058"/>
      <c r="AK86" s="1893"/>
    </row>
    <row r="87" spans="1:37" ht="25.5">
      <c r="A87" s="1968" t="s">
        <v>2059</v>
      </c>
      <c r="B87" s="1240" t="str">
        <f>估价对象房地状况!G19</f>
        <v>估价对象所在区域公共配套设施齐备情况</v>
      </c>
      <c r="C87" s="1885"/>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5.5">
      <c r="A88" s="1968" t="s">
        <v>2060</v>
      </c>
      <c r="B88" s="1240" t="str">
        <f>估价对象房地状况!G20</f>
        <v>估价对象所在区域基础设施水平</v>
      </c>
      <c r="C88" s="1885"/>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4">
      <c r="A89" s="1968" t="s">
        <v>2057</v>
      </c>
      <c r="B89" s="1973" t="s">
        <v>2071</v>
      </c>
      <c r="C89" s="1885"/>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9" thickBot="1">
      <c r="A90" s="1975" t="s">
        <v>2072</v>
      </c>
      <c r="B90" s="1980" t="str">
        <f>估价对象房地状况!G18</f>
        <v>该园区内是否有污染型企业，绿化情况，卫生条件，整体环境状况判断</v>
      </c>
      <c r="C90" s="1885"/>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5">
      <c r="A91" s="3077" t="s">
        <v>2612</v>
      </c>
      <c r="B91" s="3078">
        <f>1+E93</f>
        <v>1</v>
      </c>
      <c r="C91" s="3071"/>
      <c r="D91" s="3072"/>
      <c r="E91" s="1675"/>
      <c r="F91" s="1675"/>
      <c r="G91" s="3073"/>
      <c r="H91" s="3074"/>
      <c r="I91" s="3075"/>
      <c r="J91" s="3076"/>
      <c r="K91" s="3076"/>
      <c r="L91" s="3076"/>
      <c r="M91" s="3076"/>
      <c r="N91" s="3076"/>
    </row>
    <row r="92" spans="1:37" ht="24.75">
      <c r="A92" s="3079" t="s">
        <v>3269</v>
      </c>
      <c r="B92" s="2308"/>
      <c r="C92" s="2308" t="s">
        <v>3278</v>
      </c>
      <c r="D92" s="2308" t="s">
        <v>3279</v>
      </c>
      <c r="E92" s="3051" t="s">
        <v>3280</v>
      </c>
      <c r="F92" s="3081" t="s">
        <v>3281</v>
      </c>
      <c r="G92" s="2308" t="s">
        <v>3282</v>
      </c>
      <c r="H92" s="3088" t="s">
        <v>3285</v>
      </c>
      <c r="I92" s="2308" t="s">
        <v>3286</v>
      </c>
      <c r="J92" s="2148" t="s">
        <v>3287</v>
      </c>
      <c r="K92" s="2148" t="s">
        <v>3288</v>
      </c>
      <c r="L92" s="2148" t="s">
        <v>3289</v>
      </c>
      <c r="M92" s="2148" t="s">
        <v>3290</v>
      </c>
      <c r="N92" s="2148" t="s">
        <v>3291</v>
      </c>
    </row>
    <row r="93" spans="1:37" ht="24">
      <c r="A93" s="3069" t="s">
        <v>3270</v>
      </c>
      <c r="B93" s="1221"/>
      <c r="C93" s="1885"/>
      <c r="D93" s="2308">
        <f>SUMIF($J$92:$N$92,C93,J93:N93)</f>
        <v>0</v>
      </c>
      <c r="E93" s="3082">
        <f>ROUND(SUM(D93:D101),4)</f>
        <v>0</v>
      </c>
      <c r="F93" s="1675" t="str">
        <f>IF(E2="公共服务",SUMIF(L1:L12,G2,N1:N12),"——")</f>
        <v>——</v>
      </c>
      <c r="G93" s="3073"/>
      <c r="H93" s="3118" t="str">
        <f>IFERROR(ROUNDDOWN($F$93*I93/2,4),"——")</f>
        <v>——</v>
      </c>
      <c r="I93" s="3067">
        <v>0.25</v>
      </c>
      <c r="J93" s="1910">
        <f t="shared" ref="J93:J101" si="27">K93+$G93</f>
        <v>0</v>
      </c>
      <c r="K93" s="1910">
        <f t="shared" ref="K93:K101" si="28">$L93+$G93</f>
        <v>0</v>
      </c>
      <c r="L93" s="1910">
        <v>0</v>
      </c>
      <c r="M93" s="1910">
        <f t="shared" ref="M93:N101" si="29">L93-$G93</f>
        <v>0</v>
      </c>
      <c r="N93" s="1910">
        <f t="shared" si="29"/>
        <v>0</v>
      </c>
    </row>
    <row r="94" spans="1:37" ht="38.25">
      <c r="A94" s="3079" t="s">
        <v>3271</v>
      </c>
      <c r="B94" s="3070" t="str">
        <f>估价对象房地状况!C18</f>
        <v>估价对象周边道路状况、公共交通通达情况、停车便捷程度，综合评价交通便捷度较好</v>
      </c>
      <c r="C94" s="1885"/>
      <c r="D94" s="2308">
        <f t="shared" ref="D94:D101" si="30">SUMIF($J$60:$N$60,C94,J94:N94)</f>
        <v>0</v>
      </c>
      <c r="E94" s="3083"/>
      <c r="F94" s="1675"/>
      <c r="G94" s="3073"/>
      <c r="H94" s="3118" t="str">
        <f>IFERROR(ROUNDDOWN($F$93*I94/2,4),"——")</f>
        <v>——</v>
      </c>
      <c r="I94" s="3067">
        <v>0.26</v>
      </c>
      <c r="J94" s="1910">
        <f t="shared" si="27"/>
        <v>0</v>
      </c>
      <c r="K94" s="1910">
        <f t="shared" si="28"/>
        <v>0</v>
      </c>
      <c r="L94" s="1910">
        <v>0</v>
      </c>
      <c r="M94" s="1910">
        <f t="shared" si="29"/>
        <v>0</v>
      </c>
      <c r="N94" s="1910">
        <f t="shared" si="29"/>
        <v>0</v>
      </c>
    </row>
    <row r="95" spans="1:37" ht="36">
      <c r="A95" s="3069" t="s">
        <v>3267</v>
      </c>
      <c r="B95" s="3070">
        <f>估价对象房地状况!C19</f>
        <v>0</v>
      </c>
      <c r="C95" s="1885"/>
      <c r="D95" s="2308">
        <f t="shared" si="30"/>
        <v>0</v>
      </c>
      <c r="E95" s="3083"/>
      <c r="F95" s="1675"/>
      <c r="G95" s="3073"/>
      <c r="H95" s="3118" t="str">
        <f t="shared" ref="H95:H101" si="31">IFERROR(ROUNDDOWN($F$93*I95/2,4),"——")</f>
        <v>——</v>
      </c>
      <c r="I95" s="3067">
        <v>0.11</v>
      </c>
      <c r="J95" s="1910">
        <f t="shared" si="27"/>
        <v>0</v>
      </c>
      <c r="K95" s="1910">
        <f t="shared" si="28"/>
        <v>0</v>
      </c>
      <c r="L95" s="1910">
        <v>0</v>
      </c>
      <c r="M95" s="1910">
        <f t="shared" si="29"/>
        <v>0</v>
      </c>
      <c r="N95" s="1910">
        <f t="shared" si="29"/>
        <v>0</v>
      </c>
    </row>
    <row r="96" spans="1:37" ht="36.75">
      <c r="A96" s="3079" t="s">
        <v>3272</v>
      </c>
      <c r="B96" s="3085" t="s">
        <v>3283</v>
      </c>
      <c r="C96" s="1885"/>
      <c r="D96" s="2308">
        <f t="shared" si="30"/>
        <v>0</v>
      </c>
      <c r="E96" s="3083"/>
      <c r="F96" s="1675"/>
      <c r="G96" s="3073"/>
      <c r="H96" s="3118" t="str">
        <f t="shared" si="31"/>
        <v>——</v>
      </c>
      <c r="I96" s="3067">
        <v>0.05</v>
      </c>
      <c r="J96" s="1910">
        <f t="shared" si="27"/>
        <v>0</v>
      </c>
      <c r="K96" s="1910">
        <f t="shared" si="28"/>
        <v>0</v>
      </c>
      <c r="L96" s="1910">
        <v>0</v>
      </c>
      <c r="M96" s="1910">
        <f t="shared" si="29"/>
        <v>0</v>
      </c>
      <c r="N96" s="1910">
        <f t="shared" si="29"/>
        <v>0</v>
      </c>
    </row>
    <row r="97" spans="1:14" ht="24">
      <c r="A97" s="3079" t="s">
        <v>3273</v>
      </c>
      <c r="B97" s="3070">
        <f>估价对象房地状况!C24</f>
        <v>0</v>
      </c>
      <c r="C97" s="1885"/>
      <c r="D97" s="2308">
        <f t="shared" si="30"/>
        <v>0</v>
      </c>
      <c r="E97" s="3083"/>
      <c r="F97" s="1675"/>
      <c r="G97" s="3073"/>
      <c r="H97" s="3118" t="str">
        <f t="shared" si="31"/>
        <v>——</v>
      </c>
      <c r="I97" s="3067">
        <v>0.05</v>
      </c>
      <c r="J97" s="1910">
        <f t="shared" si="27"/>
        <v>0</v>
      </c>
      <c r="K97" s="1910">
        <f t="shared" si="28"/>
        <v>0</v>
      </c>
      <c r="L97" s="1910">
        <v>0</v>
      </c>
      <c r="M97" s="1910">
        <f t="shared" si="29"/>
        <v>0</v>
      </c>
      <c r="N97" s="1910">
        <f t="shared" si="29"/>
        <v>0</v>
      </c>
    </row>
    <row r="98" spans="1:14" ht="24">
      <c r="A98" s="3079" t="s">
        <v>3274</v>
      </c>
      <c r="B98" s="3086" t="s">
        <v>3284</v>
      </c>
      <c r="C98" s="1885"/>
      <c r="D98" s="2308">
        <f t="shared" si="30"/>
        <v>0</v>
      </c>
      <c r="E98" s="3083"/>
      <c r="F98" s="1675"/>
      <c r="G98" s="3073"/>
      <c r="H98" s="3118" t="str">
        <f t="shared" si="31"/>
        <v>——</v>
      </c>
      <c r="I98" s="3067">
        <v>0.06</v>
      </c>
      <c r="J98" s="1910">
        <f t="shared" si="27"/>
        <v>0</v>
      </c>
      <c r="K98" s="1910">
        <f t="shared" si="28"/>
        <v>0</v>
      </c>
      <c r="L98" s="1910">
        <v>0</v>
      </c>
      <c r="M98" s="1910">
        <f t="shared" si="29"/>
        <v>0</v>
      </c>
      <c r="N98" s="1910">
        <f t="shared" si="29"/>
        <v>0</v>
      </c>
    </row>
    <row r="99" spans="1:14" ht="25.5">
      <c r="A99" s="3079" t="s">
        <v>3275</v>
      </c>
      <c r="B99" s="3070" t="str">
        <f>估价对象房地状况!C21</f>
        <v>估价对象所在区域公共配套设施齐备情况</v>
      </c>
      <c r="C99" s="1885"/>
      <c r="D99" s="2308">
        <f t="shared" si="30"/>
        <v>0</v>
      </c>
      <c r="E99" s="3083"/>
      <c r="F99" s="1675"/>
      <c r="G99" s="3073"/>
      <c r="H99" s="3118" t="str">
        <f t="shared" si="31"/>
        <v>——</v>
      </c>
      <c r="I99" s="3067">
        <v>0.06</v>
      </c>
      <c r="J99" s="1910">
        <f t="shared" si="27"/>
        <v>0</v>
      </c>
      <c r="K99" s="1910">
        <f t="shared" si="28"/>
        <v>0</v>
      </c>
      <c r="L99" s="1910">
        <v>0</v>
      </c>
      <c r="M99" s="1910">
        <f t="shared" si="29"/>
        <v>0</v>
      </c>
      <c r="N99" s="1910">
        <f t="shared" si="29"/>
        <v>0</v>
      </c>
    </row>
    <row r="100" spans="1:14" ht="25.5">
      <c r="A100" s="3079" t="s">
        <v>3276</v>
      </c>
      <c r="B100" s="3070" t="str">
        <f>估价对象房地状况!C22</f>
        <v>估价对象所在区域基础设施水平</v>
      </c>
      <c r="C100" s="1885"/>
      <c r="D100" s="2308">
        <f t="shared" si="30"/>
        <v>0</v>
      </c>
      <c r="E100" s="3083"/>
      <c r="F100" s="1675"/>
      <c r="G100" s="3073"/>
      <c r="H100" s="3118" t="str">
        <f t="shared" si="31"/>
        <v>——</v>
      </c>
      <c r="I100" s="3067">
        <v>0.09</v>
      </c>
      <c r="J100" s="1910">
        <f t="shared" si="27"/>
        <v>0</v>
      </c>
      <c r="K100" s="1910">
        <f t="shared" si="28"/>
        <v>0</v>
      </c>
      <c r="L100" s="1910">
        <v>0</v>
      </c>
      <c r="M100" s="1910">
        <f t="shared" si="29"/>
        <v>0</v>
      </c>
      <c r="N100" s="1910">
        <f t="shared" si="29"/>
        <v>0</v>
      </c>
    </row>
    <row r="101" spans="1:14" ht="26.25" thickBot="1">
      <c r="A101" s="3080" t="s">
        <v>3277</v>
      </c>
      <c r="B101" s="3087" t="str">
        <f>估价对象房地状况!C20</f>
        <v>区域自然环境：；人文环境；综合评价环境状况一般</v>
      </c>
      <c r="C101" s="1885"/>
      <c r="D101" s="2308">
        <f t="shared" si="30"/>
        <v>0</v>
      </c>
      <c r="E101" s="3084"/>
      <c r="F101" s="1675"/>
      <c r="G101" s="3073"/>
      <c r="H101" s="3118" t="str">
        <f t="shared" si="31"/>
        <v>——</v>
      </c>
      <c r="I101" s="3068">
        <v>7.0000000000000007E-2</v>
      </c>
      <c r="J101" s="1910">
        <f t="shared" si="27"/>
        <v>0</v>
      </c>
      <c r="K101" s="1910">
        <f t="shared" si="28"/>
        <v>0</v>
      </c>
      <c r="L101" s="1910">
        <v>0</v>
      </c>
      <c r="M101" s="1910">
        <f t="shared" si="29"/>
        <v>0</v>
      </c>
      <c r="N101" s="1910">
        <f t="shared" si="29"/>
        <v>0</v>
      </c>
    </row>
    <row r="103" spans="1:14">
      <c r="A103" s="3482" t="s">
        <v>3292</v>
      </c>
      <c r="B103" s="3482"/>
      <c r="C103" s="3482"/>
      <c r="D103" s="3482"/>
      <c r="E103" s="3482"/>
      <c r="F103" s="3482"/>
      <c r="G103" s="3482"/>
      <c r="H103" s="3482"/>
      <c r="I103" s="3482"/>
      <c r="J103" s="3482"/>
      <c r="K103" s="1667"/>
      <c r="L103" s="1667"/>
      <c r="M103" s="1667"/>
      <c r="N103" s="1667"/>
    </row>
    <row r="104" spans="1:14">
      <c r="A104" s="3483" t="s">
        <v>3293</v>
      </c>
      <c r="B104" s="3483" t="s">
        <v>3294</v>
      </c>
      <c r="C104" s="3089" t="s">
        <v>3295</v>
      </c>
      <c r="D104" s="3090"/>
      <c r="E104" s="3090"/>
      <c r="F104" s="3090"/>
      <c r="G104" s="3090"/>
      <c r="H104" s="3090"/>
      <c r="I104" s="3090"/>
      <c r="J104" s="3091"/>
      <c r="K104" s="3092"/>
      <c r="L104" s="3092"/>
      <c r="M104" s="3092"/>
      <c r="N104" s="3092"/>
    </row>
    <row r="105" spans="1:14">
      <c r="A105" s="3483"/>
      <c r="B105" s="3483"/>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9"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70"/>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72" t="s">
        <v>3309</v>
      </c>
      <c r="B113" s="3472"/>
      <c r="C113" s="3472"/>
      <c r="D113" s="3472"/>
      <c r="E113" s="3472"/>
      <c r="F113" s="3472"/>
      <c r="G113" s="3472"/>
      <c r="H113" s="3472"/>
      <c r="I113" s="3472"/>
      <c r="J113" s="3472"/>
      <c r="K113" s="3095"/>
      <c r="L113" s="3095"/>
      <c r="M113" s="3095"/>
      <c r="N113" s="3095"/>
    </row>
    <row r="114" spans="1:14">
      <c r="A114" s="3096"/>
      <c r="B114" s="3096"/>
      <c r="C114" s="3096"/>
      <c r="D114" s="3096"/>
      <c r="E114" s="3096"/>
      <c r="F114" s="3096"/>
      <c r="G114" s="3096"/>
      <c r="H114" s="3096"/>
      <c r="I114" s="3096"/>
      <c r="J114" s="3096"/>
      <c r="K114" s="1962"/>
      <c r="L114" s="3096"/>
      <c r="M114" s="3096"/>
      <c r="N114" s="3096"/>
    </row>
    <row r="115" spans="1:14" ht="13.5" thickBot="1">
      <c r="A115" s="3096"/>
      <c r="B115" s="3096"/>
      <c r="C115" s="3096"/>
      <c r="D115" s="3096"/>
      <c r="E115" s="3096"/>
      <c r="F115" s="3096"/>
      <c r="G115" s="3096"/>
      <c r="H115" s="3096"/>
      <c r="I115" s="3096"/>
      <c r="J115" s="3096"/>
      <c r="K115" s="1962"/>
      <c r="L115" s="3096"/>
      <c r="M115" s="3096"/>
      <c r="N115" s="3096"/>
    </row>
    <row r="116" spans="1:14" ht="25.5" thickBot="1">
      <c r="A116" s="3097" t="s">
        <v>3310</v>
      </c>
      <c r="B116" s="3113">
        <f>G3</f>
        <v>1.5</v>
      </c>
      <c r="C116" s="3098" t="s">
        <v>3311</v>
      </c>
      <c r="D116" s="3099">
        <f>SUMPRODUCT((A118:A122=F116)*(B117:M117=H116)*B118:M122)</f>
        <v>0.92800000000000005</v>
      </c>
      <c r="E116" s="162" t="s">
        <v>3312</v>
      </c>
      <c r="F116" s="3100" t="str">
        <f>E2</f>
        <v>商业</v>
      </c>
      <c r="G116" s="162" t="s">
        <v>3313</v>
      </c>
      <c r="H116" s="3100" t="str">
        <f>G2</f>
        <v>五级</v>
      </c>
      <c r="I116" s="162"/>
      <c r="J116" s="3101"/>
      <c r="K116" s="3101"/>
      <c r="L116" s="3101"/>
      <c r="M116" s="3101"/>
      <c r="N116" s="3096"/>
    </row>
    <row r="117" spans="1:14">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c r="A118" s="3056" t="s">
        <v>3326</v>
      </c>
      <c r="B118" s="3088">
        <f>ROUND(0.9968-0.011*B116,4)</f>
        <v>0.98029999999999995</v>
      </c>
      <c r="C118" s="3088">
        <f>B118</f>
        <v>0.98029999999999995</v>
      </c>
      <c r="D118" s="3088">
        <f>ROUND(0.949-0.014*B116,4)</f>
        <v>0.92800000000000005</v>
      </c>
      <c r="E118" s="3088">
        <f>D118</f>
        <v>0.92800000000000005</v>
      </c>
      <c r="F118" s="3088">
        <f>E118</f>
        <v>0.92800000000000005</v>
      </c>
      <c r="G118" s="3088">
        <f>F118</f>
        <v>0.92800000000000005</v>
      </c>
      <c r="H118" s="3088">
        <f>G118</f>
        <v>0.92800000000000005</v>
      </c>
      <c r="I118" s="3088">
        <f>ROUND(0.8486-0.018*B116,4)</f>
        <v>0.8216</v>
      </c>
      <c r="J118" s="3088">
        <f t="shared" ref="J118:M122" si="35">I118</f>
        <v>0.8216</v>
      </c>
      <c r="K118" s="3088">
        <f t="shared" si="35"/>
        <v>0.8216</v>
      </c>
      <c r="L118" s="3088">
        <f t="shared" si="35"/>
        <v>0.8216</v>
      </c>
      <c r="M118" s="3108">
        <f t="shared" si="35"/>
        <v>0.8216</v>
      </c>
      <c r="N118" s="3096"/>
    </row>
    <row r="119" spans="1:14">
      <c r="A119" s="3056" t="s">
        <v>3327</v>
      </c>
      <c r="B119" s="3088">
        <f>ROUND(0.993-0.0112*B116,4)</f>
        <v>0.97619999999999996</v>
      </c>
      <c r="C119" s="3088">
        <f>B119</f>
        <v>0.97619999999999996</v>
      </c>
      <c r="D119" s="3088">
        <f>ROUND(0.9415-0.0142*B116,4)</f>
        <v>0.92020000000000002</v>
      </c>
      <c r="E119" s="3088">
        <f t="shared" ref="E119:H120" si="36">D119</f>
        <v>0.92020000000000002</v>
      </c>
      <c r="F119" s="3088">
        <f t="shared" si="36"/>
        <v>0.92020000000000002</v>
      </c>
      <c r="G119" s="3088">
        <f t="shared" si="36"/>
        <v>0.92020000000000002</v>
      </c>
      <c r="H119" s="3088">
        <f t="shared" si="36"/>
        <v>0.92020000000000002</v>
      </c>
      <c r="I119" s="3088">
        <f>ROUND(0.838-0.0182*B116,4)</f>
        <v>0.81069999999999998</v>
      </c>
      <c r="J119" s="3088">
        <f t="shared" si="35"/>
        <v>0.81069999999999998</v>
      </c>
      <c r="K119" s="3088">
        <f t="shared" si="35"/>
        <v>0.81069999999999998</v>
      </c>
      <c r="L119" s="3088">
        <f t="shared" si="35"/>
        <v>0.81069999999999998</v>
      </c>
      <c r="M119" s="3108">
        <f t="shared" si="35"/>
        <v>0.81069999999999998</v>
      </c>
      <c r="N119" s="3096"/>
    </row>
    <row r="120" spans="1:14">
      <c r="A120" s="3056" t="s">
        <v>3328</v>
      </c>
      <c r="B120" s="3088">
        <f>ROUND(0.9448-0.0115*B116,4)</f>
        <v>0.92759999999999998</v>
      </c>
      <c r="C120" s="3088">
        <f>B120</f>
        <v>0.92759999999999998</v>
      </c>
      <c r="D120" s="3088">
        <f>ROUND(0.937-0.0145*B116,4)</f>
        <v>0.9153</v>
      </c>
      <c r="E120" s="3088">
        <f t="shared" si="36"/>
        <v>0.9153</v>
      </c>
      <c r="F120" s="3088">
        <f t="shared" si="36"/>
        <v>0.9153</v>
      </c>
      <c r="G120" s="3088">
        <f t="shared" si="36"/>
        <v>0.9153</v>
      </c>
      <c r="H120" s="3088">
        <f t="shared" si="36"/>
        <v>0.9153</v>
      </c>
      <c r="I120" s="3088">
        <f>ROUND(0.7965-0.0185*B116,4)</f>
        <v>0.76880000000000004</v>
      </c>
      <c r="J120" s="3088">
        <f t="shared" si="35"/>
        <v>0.76880000000000004</v>
      </c>
      <c r="K120" s="3088">
        <f t="shared" si="35"/>
        <v>0.76880000000000004</v>
      </c>
      <c r="L120" s="3088">
        <f t="shared" si="35"/>
        <v>0.76880000000000004</v>
      </c>
      <c r="M120" s="3108">
        <f t="shared" si="35"/>
        <v>0.76880000000000004</v>
      </c>
      <c r="N120" s="3096"/>
    </row>
    <row r="121" spans="1:14" ht="13.5" thickBot="1">
      <c r="A121" s="3109" t="s">
        <v>3329</v>
      </c>
      <c r="B121" s="3110">
        <f>ROUND(0.7836-0.012*B116,4)</f>
        <v>0.76559999999999995</v>
      </c>
      <c r="C121" s="3110">
        <f>B121</f>
        <v>0.76559999999999995</v>
      </c>
      <c r="D121" s="3110">
        <f>ROUND(0.753-0.015*B116,4)</f>
        <v>0.73050000000000004</v>
      </c>
      <c r="E121" s="3110">
        <f>D121</f>
        <v>0.73050000000000004</v>
      </c>
      <c r="F121" s="3110">
        <f>E121</f>
        <v>0.73050000000000004</v>
      </c>
      <c r="G121" s="3110">
        <f>ROUND(0.6612-0.018*B116,4)</f>
        <v>0.63419999999999999</v>
      </c>
      <c r="H121" s="3110">
        <f>G121</f>
        <v>0.63419999999999999</v>
      </c>
      <c r="I121" s="3110">
        <f>ROUND(0.5905-0.019*B116,4)</f>
        <v>0.56200000000000006</v>
      </c>
      <c r="J121" s="3110">
        <f t="shared" si="35"/>
        <v>0.56200000000000006</v>
      </c>
      <c r="K121" s="3110">
        <f t="shared" si="35"/>
        <v>0.56200000000000006</v>
      </c>
      <c r="L121" s="3110">
        <f t="shared" si="35"/>
        <v>0.56200000000000006</v>
      </c>
      <c r="M121" s="3111">
        <f t="shared" si="35"/>
        <v>0.56200000000000006</v>
      </c>
      <c r="N121" s="3096"/>
    </row>
    <row r="122" spans="1:14">
      <c r="A122" s="3112" t="s">
        <v>2612</v>
      </c>
      <c r="B122" s="3088">
        <f>ROUND(0.9404-0.0106*B116,4)</f>
        <v>0.92449999999999999</v>
      </c>
      <c r="C122" s="3088">
        <f>B122</f>
        <v>0.92449999999999999</v>
      </c>
      <c r="D122" s="3088">
        <f>ROUND(0.8955-0.0135*B116,4)</f>
        <v>0.87529999999999997</v>
      </c>
      <c r="E122" s="3088">
        <f t="shared" ref="E122:H122" si="37">D122</f>
        <v>0.87529999999999997</v>
      </c>
      <c r="F122" s="3088">
        <f t="shared" si="37"/>
        <v>0.87529999999999997</v>
      </c>
      <c r="G122" s="3088">
        <f t="shared" si="37"/>
        <v>0.87529999999999997</v>
      </c>
      <c r="H122" s="3088">
        <f t="shared" si="37"/>
        <v>0.87529999999999997</v>
      </c>
      <c r="I122" s="3088">
        <f>ROUND(0.7632-0.0166*B116,4)</f>
        <v>0.73829999999999996</v>
      </c>
      <c r="J122" s="3088">
        <f t="shared" si="35"/>
        <v>0.73829999999999996</v>
      </c>
      <c r="K122" s="3088">
        <f t="shared" si="35"/>
        <v>0.73829999999999996</v>
      </c>
      <c r="L122" s="3088">
        <f t="shared" si="35"/>
        <v>0.73829999999999996</v>
      </c>
      <c r="M122" s="3108">
        <f t="shared" si="35"/>
        <v>0.73829999999999996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5" defaultRowHeight="19.5" customHeight="1"/>
  <cols>
    <col min="1" max="13" width="15.25" style="2812" customWidth="1"/>
    <col min="14" max="14" width="10" style="2812" customWidth="1"/>
    <col min="15" max="16" width="8.25" style="2812"/>
    <col min="17" max="17" width="34.125" style="2812" customWidth="1"/>
    <col min="18" max="18" width="8.25" style="2812" customWidth="1"/>
    <col min="19" max="19" width="8.25" style="2812"/>
    <col min="20" max="20" width="11.625" style="2812" customWidth="1"/>
    <col min="21" max="16384" width="8.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8" t="s">
        <v>2607</v>
      </c>
      <c r="B20" s="3488" t="s">
        <v>2628</v>
      </c>
      <c r="C20" s="3167" t="s">
        <v>2439</v>
      </c>
      <c r="D20" s="3167"/>
      <c r="E20" s="2843">
        <v>1</v>
      </c>
      <c r="F20" s="2844" t="s">
        <v>2440</v>
      </c>
      <c r="G20" s="2844"/>
    </row>
    <row r="21" spans="1:13" ht="19.5" customHeight="1">
      <c r="A21" s="3499"/>
      <c r="B21" s="3489"/>
      <c r="C21" s="2856" t="s">
        <v>2441</v>
      </c>
      <c r="D21" s="2856"/>
      <c r="E21" s="2847">
        <v>1</v>
      </c>
      <c r="F21" s="2844" t="s">
        <v>2442</v>
      </c>
      <c r="G21" s="2844"/>
    </row>
    <row r="22" spans="1:13" ht="19.5" customHeight="1">
      <c r="A22" s="3499"/>
      <c r="B22" s="3489"/>
      <c r="C22" s="2856" t="s">
        <v>2443</v>
      </c>
      <c r="D22" s="2856"/>
      <c r="E22" s="2847">
        <v>0.9</v>
      </c>
      <c r="F22" s="2844" t="s">
        <v>2444</v>
      </c>
      <c r="G22" s="2844"/>
    </row>
    <row r="23" spans="1:13" ht="19.5" customHeight="1">
      <c r="A23" s="3499"/>
      <c r="B23" s="3489"/>
      <c r="C23" s="2856" t="s">
        <v>2445</v>
      </c>
      <c r="D23" s="2856"/>
      <c r="E23" s="2847">
        <v>0.9</v>
      </c>
      <c r="F23" s="2844" t="s">
        <v>2446</v>
      </c>
      <c r="G23" s="2844"/>
    </row>
    <row r="24" spans="1:13" ht="19.5" customHeight="1">
      <c r="A24" s="3499"/>
      <c r="B24" s="3489"/>
      <c r="C24" s="2856" t="s">
        <v>2447</v>
      </c>
      <c r="D24" s="2856"/>
      <c r="E24" s="2847">
        <v>0.8</v>
      </c>
      <c r="F24" s="2844" t="s">
        <v>2448</v>
      </c>
      <c r="G24" s="2844"/>
    </row>
    <row r="25" spans="1:13" ht="19.5" customHeight="1">
      <c r="A25" s="3499"/>
      <c r="B25" s="3489"/>
      <c r="C25" s="2856" t="s">
        <v>2449</v>
      </c>
      <c r="D25" s="2856"/>
      <c r="E25" s="2847">
        <v>0.8</v>
      </c>
      <c r="F25" s="2844"/>
      <c r="G25" s="2844"/>
    </row>
    <row r="26" spans="1:13" ht="19.5" customHeight="1">
      <c r="A26" s="3499"/>
      <c r="B26" s="3489"/>
      <c r="C26" s="2856" t="s">
        <v>3407</v>
      </c>
      <c r="D26" s="2856"/>
      <c r="E26" s="2847">
        <v>0.43</v>
      </c>
      <c r="F26" s="2844"/>
      <c r="G26" s="2844"/>
    </row>
    <row r="27" spans="1:13" ht="19.5" customHeight="1" thickBot="1">
      <c r="A27" s="3500"/>
      <c r="B27" s="3490"/>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1" t="s">
        <v>2631</v>
      </c>
      <c r="B29" s="3494" t="s">
        <v>2612</v>
      </c>
      <c r="C29" s="2841" t="s">
        <v>2452</v>
      </c>
      <c r="D29" s="2842"/>
      <c r="E29" s="2843">
        <v>1</v>
      </c>
      <c r="F29" s="2844" t="s">
        <v>2453</v>
      </c>
      <c r="G29" s="2844"/>
    </row>
    <row r="30" spans="1:13" ht="19.5" customHeight="1">
      <c r="A30" s="3492"/>
      <c r="B30" s="3495"/>
      <c r="C30" s="2845" t="s">
        <v>2454</v>
      </c>
      <c r="D30" s="2846"/>
      <c r="E30" s="2847">
        <v>1</v>
      </c>
      <c r="F30" s="2844" t="s">
        <v>2455</v>
      </c>
      <c r="G30" s="2844"/>
    </row>
    <row r="31" spans="1:13" ht="19.5" customHeight="1">
      <c r="A31" s="3492"/>
      <c r="B31" s="3495"/>
      <c r="C31" s="2845" t="s">
        <v>2456</v>
      </c>
      <c r="D31" s="2846"/>
      <c r="E31" s="2847">
        <v>0.8</v>
      </c>
      <c r="F31" s="2844" t="s">
        <v>2457</v>
      </c>
      <c r="G31" s="2844"/>
    </row>
    <row r="32" spans="1:13" ht="19.5" customHeight="1">
      <c r="A32" s="3492"/>
      <c r="B32" s="3495"/>
      <c r="C32" s="2845" t="s">
        <v>2458</v>
      </c>
      <c r="D32" s="2846"/>
      <c r="E32" s="2847">
        <v>0.8</v>
      </c>
      <c r="F32" s="2844" t="s">
        <v>2459</v>
      </c>
      <c r="G32" s="2844"/>
    </row>
    <row r="33" spans="1:7" ht="19.5" customHeight="1">
      <c r="A33" s="3492"/>
      <c r="B33" s="3495"/>
      <c r="C33" s="2845" t="s">
        <v>2460</v>
      </c>
      <c r="D33" s="2846"/>
      <c r="E33" s="2847">
        <v>0.8</v>
      </c>
      <c r="F33" s="2844" t="s">
        <v>2461</v>
      </c>
      <c r="G33" s="2844"/>
    </row>
    <row r="34" spans="1:7" ht="19.5" customHeight="1">
      <c r="A34" s="3492"/>
      <c r="B34" s="3495"/>
      <c r="C34" s="2845" t="s">
        <v>2462</v>
      </c>
      <c r="D34" s="2846"/>
      <c r="E34" s="2847">
        <v>0.7</v>
      </c>
      <c r="F34" s="2844" t="s">
        <v>2463</v>
      </c>
      <c r="G34" s="2844"/>
    </row>
    <row r="35" spans="1:7" ht="19.5" customHeight="1">
      <c r="A35" s="3492"/>
      <c r="B35" s="3495"/>
      <c r="C35" s="2845" t="s">
        <v>2464</v>
      </c>
      <c r="D35" s="2846"/>
      <c r="E35" s="2847">
        <v>0.8</v>
      </c>
      <c r="F35" s="2844" t="s">
        <v>2465</v>
      </c>
      <c r="G35" s="2844"/>
    </row>
    <row r="36" spans="1:7" ht="19.5" customHeight="1">
      <c r="A36" s="3492"/>
      <c r="B36" s="3495"/>
      <c r="C36" s="2845" t="s">
        <v>2466</v>
      </c>
      <c r="D36" s="2846"/>
      <c r="E36" s="2847">
        <v>0.6</v>
      </c>
      <c r="F36" s="2844" t="s">
        <v>2467</v>
      </c>
      <c r="G36" s="2844"/>
    </row>
    <row r="37" spans="1:7" ht="19.5" customHeight="1">
      <c r="A37" s="3492"/>
      <c r="B37" s="3495"/>
      <c r="C37" s="2845" t="s">
        <v>2468</v>
      </c>
      <c r="D37" s="2846"/>
      <c r="E37" s="2847">
        <v>0.2</v>
      </c>
      <c r="F37" s="2844" t="s">
        <v>2469</v>
      </c>
      <c r="G37" s="2844"/>
    </row>
    <row r="38" spans="1:7" ht="19.5" customHeight="1">
      <c r="A38" s="3492"/>
      <c r="B38" s="3495"/>
      <c r="C38" s="2845" t="s">
        <v>2470</v>
      </c>
      <c r="D38" s="2846"/>
      <c r="E38" s="2847">
        <v>0.2</v>
      </c>
      <c r="F38" s="2844" t="s">
        <v>2471</v>
      </c>
      <c r="G38" s="2844"/>
    </row>
    <row r="39" spans="1:7" ht="19.5" customHeight="1">
      <c r="A39" s="3492"/>
      <c r="B39" s="3496" t="s">
        <v>2632</v>
      </c>
      <c r="C39" s="2845" t="s">
        <v>2472</v>
      </c>
      <c r="D39" s="2846"/>
      <c r="E39" s="2847">
        <v>0.6</v>
      </c>
      <c r="F39" s="2844" t="s">
        <v>2473</v>
      </c>
      <c r="G39" s="2844"/>
    </row>
    <row r="40" spans="1:7" ht="19.5" customHeight="1">
      <c r="A40" s="3492"/>
      <c r="B40" s="3495"/>
      <c r="C40" s="2845" t="s">
        <v>2474</v>
      </c>
      <c r="D40" s="2846"/>
      <c r="E40" s="2847">
        <v>0.6</v>
      </c>
      <c r="F40" s="2844" t="s">
        <v>2475</v>
      </c>
      <c r="G40" s="2844"/>
    </row>
    <row r="41" spans="1:7" ht="19.5" customHeight="1" thickBot="1">
      <c r="A41" s="3493"/>
      <c r="B41" s="3497"/>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8" t="s">
        <v>2610</v>
      </c>
      <c r="B43" s="3494" t="s">
        <v>2634</v>
      </c>
      <c r="C43" s="2841" t="s">
        <v>2479</v>
      </c>
      <c r="D43" s="2842"/>
      <c r="E43" s="2843">
        <v>1</v>
      </c>
      <c r="F43" s="2844" t="s">
        <v>2480</v>
      </c>
      <c r="G43" s="2844"/>
    </row>
    <row r="44" spans="1:7" ht="19.5" customHeight="1">
      <c r="A44" s="3499"/>
      <c r="B44" s="3495"/>
      <c r="C44" s="2845" t="s">
        <v>2481</v>
      </c>
      <c r="D44" s="2846"/>
      <c r="E44" s="2847">
        <v>1</v>
      </c>
      <c r="F44" s="2844" t="s">
        <v>2482</v>
      </c>
      <c r="G44" s="2844"/>
    </row>
    <row r="45" spans="1:7" ht="19.5" customHeight="1">
      <c r="A45" s="3499"/>
      <c r="B45" s="3501"/>
      <c r="C45" s="2845" t="s">
        <v>2483</v>
      </c>
      <c r="D45" s="2846"/>
      <c r="E45" s="2847">
        <v>1.5</v>
      </c>
      <c r="F45" s="2844" t="s">
        <v>2484</v>
      </c>
      <c r="G45" s="2844"/>
    </row>
    <row r="46" spans="1:7" ht="19.5" customHeight="1">
      <c r="A46" s="3499"/>
      <c r="B46" s="2856" t="s">
        <v>2635</v>
      </c>
      <c r="C46" s="2845" t="s">
        <v>2636</v>
      </c>
      <c r="D46" s="2846"/>
      <c r="E46" s="2847">
        <v>2</v>
      </c>
      <c r="F46" s="2844" t="s">
        <v>2485</v>
      </c>
      <c r="G46" s="2844"/>
    </row>
    <row r="47" spans="1:7" ht="19.5" customHeight="1">
      <c r="A47" s="3499"/>
      <c r="B47" s="3496" t="s">
        <v>2637</v>
      </c>
      <c r="C47" s="2845" t="s">
        <v>2486</v>
      </c>
      <c r="D47" s="2846"/>
      <c r="E47" s="2847">
        <v>1</v>
      </c>
      <c r="F47" s="2844" t="s">
        <v>2487</v>
      </c>
      <c r="G47" s="2844"/>
    </row>
    <row r="48" spans="1:7" ht="19.5" customHeight="1">
      <c r="A48" s="3499"/>
      <c r="B48" s="3495"/>
      <c r="C48" s="2845" t="s">
        <v>2488</v>
      </c>
      <c r="D48" s="2846"/>
      <c r="E48" s="2847">
        <v>1</v>
      </c>
      <c r="F48" s="2844" t="s">
        <v>2489</v>
      </c>
      <c r="G48" s="2844"/>
    </row>
    <row r="49" spans="1:7" ht="19.5" customHeight="1">
      <c r="A49" s="3499"/>
      <c r="B49" s="3495"/>
      <c r="C49" s="2845" t="s">
        <v>2490</v>
      </c>
      <c r="D49" s="2846"/>
      <c r="E49" s="2847">
        <v>1</v>
      </c>
      <c r="F49" s="2844" t="s">
        <v>2491</v>
      </c>
      <c r="G49" s="2844"/>
    </row>
    <row r="50" spans="1:7" ht="19.5" customHeight="1">
      <c r="A50" s="3499"/>
      <c r="B50" s="3495"/>
      <c r="C50" s="2845" t="s">
        <v>2492</v>
      </c>
      <c r="D50" s="2846"/>
      <c r="E50" s="2847">
        <v>1</v>
      </c>
      <c r="F50" s="2844" t="s">
        <v>2493</v>
      </c>
      <c r="G50" s="2844"/>
    </row>
    <row r="51" spans="1:7" ht="19.5" customHeight="1">
      <c r="A51" s="3499"/>
      <c r="B51" s="3495"/>
      <c r="C51" s="2845" t="s">
        <v>2494</v>
      </c>
      <c r="D51" s="2846"/>
      <c r="E51" s="2847">
        <v>1</v>
      </c>
      <c r="F51" s="2844" t="s">
        <v>2495</v>
      </c>
      <c r="G51" s="2844"/>
    </row>
    <row r="52" spans="1:7" ht="19.5" customHeight="1">
      <c r="A52" s="3499"/>
      <c r="B52" s="3495"/>
      <c r="C52" s="2845" t="s">
        <v>2496</v>
      </c>
      <c r="D52" s="2846"/>
      <c r="E52" s="2847">
        <v>1</v>
      </c>
      <c r="F52" s="2844" t="s">
        <v>2497</v>
      </c>
      <c r="G52" s="2844"/>
    </row>
    <row r="53" spans="1:7" ht="19.5" customHeight="1" thickBot="1">
      <c r="A53" s="3500"/>
      <c r="B53" s="3497"/>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3.5">
      <c r="A74" s="2856"/>
      <c r="B74" s="2856"/>
      <c r="C74" s="2856" t="s">
        <v>2650</v>
      </c>
      <c r="D74" s="2856"/>
      <c r="E74" s="2856" t="s">
        <v>2621</v>
      </c>
      <c r="F74" s="2856" t="s">
        <v>2621</v>
      </c>
    </row>
    <row r="75" spans="1:7" ht="13.5">
      <c r="A75" s="2856">
        <v>1</v>
      </c>
      <c r="B75" s="3496" t="s">
        <v>2651</v>
      </c>
      <c r="C75" s="2830" t="s">
        <v>2652</v>
      </c>
      <c r="D75" s="2830" t="s">
        <v>2653</v>
      </c>
      <c r="E75" s="2856">
        <v>0.2</v>
      </c>
      <c r="F75" s="2856">
        <v>25</v>
      </c>
    </row>
    <row r="76" spans="1:7" ht="24">
      <c r="A76" s="2856">
        <v>2</v>
      </c>
      <c r="B76" s="3495"/>
      <c r="C76" s="2830" t="s">
        <v>2654</v>
      </c>
      <c r="D76" s="2830" t="s">
        <v>2655</v>
      </c>
      <c r="E76" s="2856">
        <v>0.2</v>
      </c>
      <c r="F76" s="2856">
        <v>25</v>
      </c>
    </row>
    <row r="77" spans="1:7" ht="24">
      <c r="A77" s="2856">
        <v>3</v>
      </c>
      <c r="B77" s="3495"/>
      <c r="C77" s="2830" t="s">
        <v>2656</v>
      </c>
      <c r="D77" s="2830" t="s">
        <v>2657</v>
      </c>
      <c r="E77" s="2856">
        <v>0.2</v>
      </c>
      <c r="F77" s="2856">
        <v>25</v>
      </c>
    </row>
    <row r="78" spans="1:7" ht="13.5">
      <c r="A78" s="2856">
        <v>4</v>
      </c>
      <c r="B78" s="3495"/>
      <c r="C78" s="2830" t="s">
        <v>2658</v>
      </c>
      <c r="D78" s="2830" t="s">
        <v>2659</v>
      </c>
      <c r="E78" s="2856">
        <v>0.15</v>
      </c>
      <c r="F78" s="2856">
        <v>20</v>
      </c>
    </row>
    <row r="79" spans="1:7" ht="24">
      <c r="A79" s="2856">
        <v>5</v>
      </c>
      <c r="B79" s="3495"/>
      <c r="C79" s="2830" t="s">
        <v>2660</v>
      </c>
      <c r="D79" s="2830" t="s">
        <v>2661</v>
      </c>
      <c r="E79" s="2856">
        <v>0.15</v>
      </c>
      <c r="F79" s="2856">
        <v>20</v>
      </c>
    </row>
    <row r="80" spans="1:7" ht="24">
      <c r="A80" s="2856">
        <v>6</v>
      </c>
      <c r="B80" s="3495"/>
      <c r="C80" s="2830" t="s">
        <v>2662</v>
      </c>
      <c r="D80" s="2830" t="s">
        <v>2663</v>
      </c>
      <c r="E80" s="2856">
        <v>0.15</v>
      </c>
      <c r="F80" s="2856">
        <v>20</v>
      </c>
    </row>
    <row r="81" spans="1:6" ht="24">
      <c r="A81" s="2856">
        <v>7</v>
      </c>
      <c r="B81" s="3495"/>
      <c r="C81" s="2830" t="s">
        <v>2664</v>
      </c>
      <c r="D81" s="2830" t="s">
        <v>2665</v>
      </c>
      <c r="E81" s="2856">
        <v>0.15</v>
      </c>
      <c r="F81" s="2856">
        <v>20</v>
      </c>
    </row>
    <row r="82" spans="1:6" ht="24">
      <c r="A82" s="2856">
        <v>8</v>
      </c>
      <c r="B82" s="3495"/>
      <c r="C82" s="2830" t="s">
        <v>2666</v>
      </c>
      <c r="D82" s="2830" t="s">
        <v>2667</v>
      </c>
      <c r="E82" s="2856">
        <v>0.1</v>
      </c>
      <c r="F82" s="2856">
        <v>15</v>
      </c>
    </row>
    <row r="83" spans="1:6" ht="24">
      <c r="A83" s="2856">
        <v>9</v>
      </c>
      <c r="B83" s="3495"/>
      <c r="C83" s="2830" t="s">
        <v>2668</v>
      </c>
      <c r="D83" s="2830" t="s">
        <v>2669</v>
      </c>
      <c r="E83" s="2856">
        <v>0.1</v>
      </c>
      <c r="F83" s="2856">
        <v>15</v>
      </c>
    </row>
    <row r="84" spans="1:6" ht="24">
      <c r="A84" s="2856">
        <v>10</v>
      </c>
      <c r="B84" s="3495"/>
      <c r="C84" s="2830" t="s">
        <v>2670</v>
      </c>
      <c r="D84" s="2830" t="s">
        <v>2671</v>
      </c>
      <c r="E84" s="2856">
        <v>0.1</v>
      </c>
      <c r="F84" s="2856">
        <v>15</v>
      </c>
    </row>
    <row r="85" spans="1:6" ht="24">
      <c r="A85" s="2856">
        <v>11</v>
      </c>
      <c r="B85" s="3495"/>
      <c r="C85" s="2830" t="s">
        <v>2672</v>
      </c>
      <c r="D85" s="2830" t="s">
        <v>2673</v>
      </c>
      <c r="E85" s="2856">
        <v>0.1</v>
      </c>
      <c r="F85" s="2856">
        <v>15</v>
      </c>
    </row>
    <row r="86" spans="1:6" ht="24">
      <c r="A86" s="2856">
        <v>12</v>
      </c>
      <c r="B86" s="3495"/>
      <c r="C86" s="2830" t="s">
        <v>2674</v>
      </c>
      <c r="D86" s="2830" t="s">
        <v>2675</v>
      </c>
      <c r="E86" s="2856">
        <v>0.1</v>
      </c>
      <c r="F86" s="2856">
        <v>15</v>
      </c>
    </row>
    <row r="87" spans="1:6" ht="13.5">
      <c r="A87" s="2856">
        <v>13</v>
      </c>
      <c r="B87" s="3495"/>
      <c r="C87" s="2830" t="s">
        <v>2676</v>
      </c>
      <c r="D87" s="2830" t="s">
        <v>2677</v>
      </c>
      <c r="E87" s="2856">
        <v>0.1</v>
      </c>
      <c r="F87" s="2856">
        <v>15</v>
      </c>
    </row>
    <row r="88" spans="1:6" ht="13.5">
      <c r="A88" s="2856">
        <v>14</v>
      </c>
      <c r="B88" s="3495"/>
      <c r="C88" s="2830" t="s">
        <v>2678</v>
      </c>
      <c r="D88" s="2830" t="s">
        <v>2679</v>
      </c>
      <c r="E88" s="2856">
        <v>0.1</v>
      </c>
      <c r="F88" s="2856">
        <v>15</v>
      </c>
    </row>
    <row r="89" spans="1:6" ht="13.5">
      <c r="A89" s="2856">
        <v>15</v>
      </c>
      <c r="B89" s="3495"/>
      <c r="C89" s="2830" t="s">
        <v>2680</v>
      </c>
      <c r="D89" s="2830" t="s">
        <v>2681</v>
      </c>
      <c r="E89" s="2856">
        <v>0.1</v>
      </c>
      <c r="F89" s="2856">
        <v>15</v>
      </c>
    </row>
    <row r="90" spans="1:6" ht="24">
      <c r="A90" s="2856">
        <v>16</v>
      </c>
      <c r="B90" s="3495"/>
      <c r="C90" s="2830" t="s">
        <v>2682</v>
      </c>
      <c r="D90" s="2830" t="s">
        <v>2683</v>
      </c>
      <c r="E90" s="2856">
        <v>0.1</v>
      </c>
      <c r="F90" s="2856">
        <v>15</v>
      </c>
    </row>
    <row r="91" spans="1:6" ht="24">
      <c r="A91" s="2856">
        <v>17</v>
      </c>
      <c r="B91" s="3501"/>
      <c r="C91" s="2830" t="s">
        <v>2684</v>
      </c>
      <c r="D91" s="2830" t="s">
        <v>2685</v>
      </c>
      <c r="E91" s="2856">
        <v>0.1</v>
      </c>
      <c r="F91" s="2856">
        <v>15</v>
      </c>
    </row>
    <row r="92" spans="1:6" ht="13.5">
      <c r="A92" s="2856">
        <v>18</v>
      </c>
      <c r="B92" s="3496" t="s">
        <v>2686</v>
      </c>
      <c r="C92" s="2830" t="s">
        <v>2687</v>
      </c>
      <c r="D92" s="2830" t="s">
        <v>2688</v>
      </c>
      <c r="E92" s="2856">
        <v>0.2</v>
      </c>
      <c r="F92" s="2856">
        <v>25</v>
      </c>
    </row>
    <row r="93" spans="1:6" ht="24">
      <c r="A93" s="2856">
        <v>19</v>
      </c>
      <c r="B93" s="3495"/>
      <c r="C93" s="2830" t="s">
        <v>2689</v>
      </c>
      <c r="D93" s="2830" t="s">
        <v>2690</v>
      </c>
      <c r="E93" s="2856">
        <v>0.2</v>
      </c>
      <c r="F93" s="2856">
        <v>25</v>
      </c>
    </row>
    <row r="94" spans="1:6" ht="13.5">
      <c r="A94" s="2856">
        <v>20</v>
      </c>
      <c r="B94" s="3495"/>
      <c r="C94" s="2830" t="s">
        <v>2691</v>
      </c>
      <c r="D94" s="2830" t="s">
        <v>2692</v>
      </c>
      <c r="E94" s="2856">
        <v>0.15</v>
      </c>
      <c r="F94" s="2856">
        <v>20</v>
      </c>
    </row>
    <row r="95" spans="1:6" ht="13.5">
      <c r="A95" s="2856">
        <v>21</v>
      </c>
      <c r="B95" s="3495"/>
      <c r="C95" s="2830" t="s">
        <v>2693</v>
      </c>
      <c r="D95" s="2830" t="s">
        <v>2694</v>
      </c>
      <c r="E95" s="2856">
        <v>0.15</v>
      </c>
      <c r="F95" s="2856">
        <v>20</v>
      </c>
    </row>
    <row r="96" spans="1:6" ht="13.5">
      <c r="A96" s="2856">
        <v>22</v>
      </c>
      <c r="B96" s="3495"/>
      <c r="C96" s="2830" t="s">
        <v>2695</v>
      </c>
      <c r="D96" s="2830" t="s">
        <v>2696</v>
      </c>
      <c r="E96" s="2856">
        <v>0.15</v>
      </c>
      <c r="F96" s="2856">
        <v>20</v>
      </c>
    </row>
    <row r="97" spans="1:6" ht="36">
      <c r="A97" s="2856">
        <v>23</v>
      </c>
      <c r="B97" s="3495"/>
      <c r="C97" s="2830" t="s">
        <v>2697</v>
      </c>
      <c r="D97" s="2830" t="s">
        <v>2698</v>
      </c>
      <c r="E97" s="2856">
        <v>0.15</v>
      </c>
      <c r="F97" s="2856">
        <v>20</v>
      </c>
    </row>
    <row r="98" spans="1:6" ht="13.5">
      <c r="A98" s="2856">
        <v>24</v>
      </c>
      <c r="B98" s="3495"/>
      <c r="C98" s="2830" t="s">
        <v>2699</v>
      </c>
      <c r="D98" s="2830" t="s">
        <v>2700</v>
      </c>
      <c r="E98" s="2856">
        <v>0.1</v>
      </c>
      <c r="F98" s="2856">
        <v>15</v>
      </c>
    </row>
    <row r="99" spans="1:6" ht="13.5">
      <c r="A99" s="2856">
        <v>25</v>
      </c>
      <c r="B99" s="3495"/>
      <c r="C99" s="2830" t="s">
        <v>2701</v>
      </c>
      <c r="D99" s="2830" t="s">
        <v>2702</v>
      </c>
      <c r="E99" s="2856">
        <v>0.1</v>
      </c>
      <c r="F99" s="2856">
        <v>15</v>
      </c>
    </row>
    <row r="100" spans="1:6" ht="24">
      <c r="A100" s="2856">
        <v>26</v>
      </c>
      <c r="B100" s="3495"/>
      <c r="C100" s="2830" t="s">
        <v>2703</v>
      </c>
      <c r="D100" s="2830" t="s">
        <v>2704</v>
      </c>
      <c r="E100" s="2856">
        <v>0.1</v>
      </c>
      <c r="F100" s="2856">
        <v>15</v>
      </c>
    </row>
    <row r="101" spans="1:6" ht="24">
      <c r="A101" s="2856">
        <v>27</v>
      </c>
      <c r="B101" s="3495"/>
      <c r="C101" s="2830" t="s">
        <v>2705</v>
      </c>
      <c r="D101" s="2830" t="s">
        <v>2706</v>
      </c>
      <c r="E101" s="2856">
        <v>0.1</v>
      </c>
      <c r="F101" s="2856">
        <v>15</v>
      </c>
    </row>
    <row r="102" spans="1:6" ht="13.5">
      <c r="A102" s="2856">
        <v>28</v>
      </c>
      <c r="B102" s="3495"/>
      <c r="C102" s="2830" t="s">
        <v>2707</v>
      </c>
      <c r="D102" s="2830" t="s">
        <v>2708</v>
      </c>
      <c r="E102" s="2856">
        <v>0.1</v>
      </c>
      <c r="F102" s="2856">
        <v>15</v>
      </c>
    </row>
    <row r="103" spans="1:6" ht="13.5">
      <c r="A103" s="2856">
        <v>29</v>
      </c>
      <c r="B103" s="3495"/>
      <c r="C103" s="2830" t="s">
        <v>2709</v>
      </c>
      <c r="D103" s="2830" t="s">
        <v>2710</v>
      </c>
      <c r="E103" s="2856">
        <v>0.1</v>
      </c>
      <c r="F103" s="2856">
        <v>15</v>
      </c>
    </row>
    <row r="104" spans="1:6" ht="13.5">
      <c r="A104" s="2856">
        <v>30</v>
      </c>
      <c r="B104" s="3495"/>
      <c r="C104" s="2830" t="s">
        <v>2711</v>
      </c>
      <c r="D104" s="2830" t="s">
        <v>2712</v>
      </c>
      <c r="E104" s="2856">
        <v>0.1</v>
      </c>
      <c r="F104" s="2856">
        <v>15</v>
      </c>
    </row>
    <row r="105" spans="1:6" ht="24">
      <c r="A105" s="2856">
        <v>31</v>
      </c>
      <c r="B105" s="3495"/>
      <c r="C105" s="2830" t="s">
        <v>2713</v>
      </c>
      <c r="D105" s="2830" t="s">
        <v>2714</v>
      </c>
      <c r="E105" s="2856">
        <v>0.1</v>
      </c>
      <c r="F105" s="2856">
        <v>15</v>
      </c>
    </row>
    <row r="106" spans="1:6" ht="24">
      <c r="A106" s="2856">
        <v>32</v>
      </c>
      <c r="B106" s="3495"/>
      <c r="C106" s="2830" t="s">
        <v>2715</v>
      </c>
      <c r="D106" s="2830" t="s">
        <v>2716</v>
      </c>
      <c r="E106" s="2856">
        <v>0.1</v>
      </c>
      <c r="F106" s="2856">
        <v>15</v>
      </c>
    </row>
    <row r="107" spans="1:6" ht="24">
      <c r="A107" s="2856">
        <v>33</v>
      </c>
      <c r="B107" s="3495"/>
      <c r="C107" s="2830" t="s">
        <v>2717</v>
      </c>
      <c r="D107" s="2830" t="s">
        <v>2718</v>
      </c>
      <c r="E107" s="2856">
        <v>0.1</v>
      </c>
      <c r="F107" s="2856">
        <v>15</v>
      </c>
    </row>
    <row r="108" spans="1:6" ht="24">
      <c r="A108" s="2856">
        <v>34</v>
      </c>
      <c r="B108" s="3501"/>
      <c r="C108" s="2830" t="s">
        <v>2719</v>
      </c>
      <c r="D108" s="2830" t="s">
        <v>2720</v>
      </c>
      <c r="E108" s="2856">
        <v>0.1</v>
      </c>
      <c r="F108" s="2856">
        <v>15</v>
      </c>
    </row>
    <row r="109" spans="1:6" ht="24">
      <c r="A109" s="2856">
        <v>35</v>
      </c>
      <c r="B109" s="3496" t="s">
        <v>2721</v>
      </c>
      <c r="C109" s="2856" t="s">
        <v>2722</v>
      </c>
      <c r="D109" s="2830" t="s">
        <v>2723</v>
      </c>
      <c r="E109" s="2856">
        <v>0.15</v>
      </c>
      <c r="F109" s="2856">
        <v>20</v>
      </c>
    </row>
    <row r="110" spans="1:6" ht="13.5">
      <c r="A110" s="2856">
        <v>36</v>
      </c>
      <c r="B110" s="3495"/>
      <c r="C110" s="2856" t="s">
        <v>2724</v>
      </c>
      <c r="D110" s="2830" t="s">
        <v>2725</v>
      </c>
      <c r="E110" s="2856">
        <v>0.15</v>
      </c>
      <c r="F110" s="2856">
        <v>20</v>
      </c>
    </row>
    <row r="111" spans="1:6" ht="13.5">
      <c r="A111" s="2856">
        <v>37</v>
      </c>
      <c r="B111" s="3495"/>
      <c r="C111" s="2856" t="s">
        <v>2726</v>
      </c>
      <c r="D111" s="2830" t="s">
        <v>2727</v>
      </c>
      <c r="E111" s="2856">
        <v>0.15</v>
      </c>
      <c r="F111" s="2856">
        <v>20</v>
      </c>
    </row>
    <row r="112" spans="1:6" ht="13.5">
      <c r="A112" s="2856">
        <v>38</v>
      </c>
      <c r="B112" s="3495"/>
      <c r="C112" s="2856" t="s">
        <v>2728</v>
      </c>
      <c r="D112" s="2830" t="s">
        <v>2729</v>
      </c>
      <c r="E112" s="2856">
        <v>0.1</v>
      </c>
      <c r="F112" s="2856">
        <v>15</v>
      </c>
    </row>
    <row r="113" spans="1:6" ht="24">
      <c r="A113" s="2856">
        <v>39</v>
      </c>
      <c r="B113" s="3495"/>
      <c r="C113" s="2856" t="s">
        <v>2730</v>
      </c>
      <c r="D113" s="2830" t="s">
        <v>2731</v>
      </c>
      <c r="E113" s="2856">
        <v>0.1</v>
      </c>
      <c r="F113" s="2856">
        <v>15</v>
      </c>
    </row>
    <row r="114" spans="1:6" ht="24">
      <c r="A114" s="2856">
        <v>40</v>
      </c>
      <c r="B114" s="3501"/>
      <c r="C114" s="2856" t="s">
        <v>2732</v>
      </c>
      <c r="D114" s="2830" t="s">
        <v>2733</v>
      </c>
      <c r="E114" s="2856">
        <v>0.1</v>
      </c>
      <c r="F114" s="2856">
        <v>15</v>
      </c>
    </row>
    <row r="115" spans="1:6" ht="13.5">
      <c r="A115" s="2856">
        <v>41</v>
      </c>
      <c r="B115" s="3489" t="s">
        <v>2734</v>
      </c>
      <c r="C115" s="2856" t="s">
        <v>2735</v>
      </c>
      <c r="D115" s="2830" t="s">
        <v>2736</v>
      </c>
      <c r="E115" s="2856">
        <v>0.1</v>
      </c>
      <c r="F115" s="2856">
        <v>15</v>
      </c>
    </row>
    <row r="116" spans="1:6" ht="13.5">
      <c r="A116" s="2856">
        <v>42</v>
      </c>
      <c r="B116" s="3489"/>
      <c r="C116" s="2856" t="s">
        <v>2737</v>
      </c>
      <c r="D116" s="2830" t="s">
        <v>2738</v>
      </c>
      <c r="E116" s="2856">
        <v>0.1</v>
      </c>
      <c r="F116" s="2856">
        <v>15</v>
      </c>
    </row>
    <row r="117" spans="1:6" ht="24">
      <c r="A117" s="2856">
        <v>43</v>
      </c>
      <c r="B117" s="3489"/>
      <c r="C117" s="2856" t="s">
        <v>2739</v>
      </c>
      <c r="D117" s="2830" t="s">
        <v>2740</v>
      </c>
      <c r="E117" s="2856">
        <v>0.1</v>
      </c>
      <c r="F117" s="2856">
        <v>15</v>
      </c>
    </row>
    <row r="118" spans="1:6" ht="13.5">
      <c r="A118" s="2856">
        <v>44</v>
      </c>
      <c r="B118" s="3496" t="s">
        <v>2741</v>
      </c>
      <c r="C118" s="2856" t="s">
        <v>2742</v>
      </c>
      <c r="D118" s="2830" t="s">
        <v>2743</v>
      </c>
      <c r="E118" s="2856">
        <v>0.1</v>
      </c>
      <c r="F118" s="2856">
        <v>15</v>
      </c>
    </row>
    <row r="119" spans="1:6" ht="24">
      <c r="A119" s="2856">
        <v>45</v>
      </c>
      <c r="B119" s="3501"/>
      <c r="C119" s="2830" t="s">
        <v>2744</v>
      </c>
      <c r="D119" s="2830" t="s">
        <v>2745</v>
      </c>
      <c r="E119" s="2856">
        <v>0.1</v>
      </c>
      <c r="F119" s="2856">
        <v>15</v>
      </c>
    </row>
    <row r="120" spans="1:6" ht="24">
      <c r="A120" s="2856">
        <v>46</v>
      </c>
      <c r="B120" s="3496" t="s">
        <v>2746</v>
      </c>
      <c r="C120" s="2856" t="s">
        <v>2747</v>
      </c>
      <c r="D120" s="2830" t="s">
        <v>2748</v>
      </c>
      <c r="E120" s="2856">
        <v>0.1</v>
      </c>
      <c r="F120" s="2856">
        <v>15</v>
      </c>
    </row>
    <row r="121" spans="1:6" ht="24">
      <c r="A121" s="2856">
        <v>47</v>
      </c>
      <c r="B121" s="3501"/>
      <c r="C121" s="2856" t="s">
        <v>2749</v>
      </c>
      <c r="D121" s="2830" t="s">
        <v>2750</v>
      </c>
      <c r="E121" s="2856">
        <v>0.1</v>
      </c>
      <c r="F121" s="2856">
        <v>15</v>
      </c>
    </row>
    <row r="122" spans="1:6" ht="13.5">
      <c r="A122" s="2856">
        <v>48</v>
      </c>
      <c r="B122" s="3496" t="s">
        <v>2751</v>
      </c>
      <c r="C122" s="2856" t="s">
        <v>2752</v>
      </c>
      <c r="D122" s="2830" t="s">
        <v>2753</v>
      </c>
      <c r="E122" s="2856">
        <v>0.1</v>
      </c>
      <c r="F122" s="2856">
        <v>15</v>
      </c>
    </row>
    <row r="123" spans="1:6" ht="13.5">
      <c r="A123" s="2856">
        <v>49</v>
      </c>
      <c r="B123" s="3501"/>
      <c r="C123" s="2856" t="s">
        <v>2754</v>
      </c>
      <c r="D123" s="2830" t="s">
        <v>2755</v>
      </c>
      <c r="E123" s="2856">
        <v>0.1</v>
      </c>
      <c r="F123" s="2856">
        <v>15</v>
      </c>
    </row>
    <row r="124" spans="1:6" ht="24">
      <c r="A124" s="2856">
        <v>50</v>
      </c>
      <c r="B124" s="3489" t="s">
        <v>2756</v>
      </c>
      <c r="C124" s="2856" t="s">
        <v>2757</v>
      </c>
      <c r="D124" s="2830" t="s">
        <v>2758</v>
      </c>
      <c r="E124" s="2856">
        <v>0.1</v>
      </c>
      <c r="F124" s="2856">
        <v>15</v>
      </c>
    </row>
    <row r="125" spans="1:6" ht="24">
      <c r="A125" s="2856">
        <v>51</v>
      </c>
      <c r="B125" s="3489"/>
      <c r="C125" s="2856" t="s">
        <v>2759</v>
      </c>
      <c r="D125" s="2830" t="s">
        <v>2760</v>
      </c>
      <c r="E125" s="2856">
        <v>0.1</v>
      </c>
      <c r="F125" s="2856">
        <v>15</v>
      </c>
    </row>
    <row r="126" spans="1:6" ht="24">
      <c r="A126" s="2856">
        <v>52</v>
      </c>
      <c r="B126" s="3489" t="s">
        <v>2761</v>
      </c>
      <c r="C126" s="2856" t="s">
        <v>2762</v>
      </c>
      <c r="D126" s="2830" t="s">
        <v>2763</v>
      </c>
      <c r="E126" s="2856">
        <v>0.1</v>
      </c>
      <c r="F126" s="2856">
        <v>15</v>
      </c>
    </row>
    <row r="127" spans="1:6" ht="24">
      <c r="A127" s="2856">
        <v>53</v>
      </c>
      <c r="B127" s="3489"/>
      <c r="C127" s="2856" t="s">
        <v>2764</v>
      </c>
      <c r="D127" s="2830" t="s">
        <v>2765</v>
      </c>
      <c r="E127" s="2856">
        <v>0.1</v>
      </c>
      <c r="F127" s="2856">
        <v>15</v>
      </c>
    </row>
    <row r="128" spans="1:6" ht="13.5">
      <c r="A128" s="2856">
        <v>54</v>
      </c>
      <c r="B128" s="2856" t="s">
        <v>2766</v>
      </c>
      <c r="C128" s="2856" t="s">
        <v>2767</v>
      </c>
      <c r="D128" s="2830" t="s">
        <v>2768</v>
      </c>
      <c r="E128" s="2856">
        <v>0.1</v>
      </c>
      <c r="F128" s="2856">
        <v>15</v>
      </c>
    </row>
    <row r="129" spans="1:6" ht="13.5">
      <c r="A129" s="2856">
        <v>55</v>
      </c>
      <c r="B129" s="3489" t="s">
        <v>2769</v>
      </c>
      <c r="C129" s="2856" t="s">
        <v>2770</v>
      </c>
      <c r="D129" s="2830" t="s">
        <v>2771</v>
      </c>
      <c r="E129" s="2856">
        <v>0.1</v>
      </c>
      <c r="F129" s="2856">
        <v>15</v>
      </c>
    </row>
    <row r="130" spans="1:6" ht="13.5">
      <c r="A130" s="2856">
        <v>56</v>
      </c>
      <c r="B130" s="3489"/>
      <c r="C130" s="2856" t="s">
        <v>2772</v>
      </c>
      <c r="D130" s="2830" t="s">
        <v>2773</v>
      </c>
      <c r="E130" s="2856">
        <v>0.1</v>
      </c>
      <c r="F130" s="2856">
        <v>15</v>
      </c>
    </row>
    <row r="131" spans="1:6" ht="24">
      <c r="A131" s="2856">
        <v>57</v>
      </c>
      <c r="B131" s="3489"/>
      <c r="C131" s="2856" t="s">
        <v>2774</v>
      </c>
      <c r="D131" s="2830" t="s">
        <v>2775</v>
      </c>
      <c r="E131" s="2856">
        <v>0.1</v>
      </c>
      <c r="F131" s="2856">
        <v>15</v>
      </c>
    </row>
    <row r="132" spans="1:6" ht="24">
      <c r="A132" s="2856">
        <v>58</v>
      </c>
      <c r="B132" s="3489" t="s">
        <v>2776</v>
      </c>
      <c r="C132" s="2856" t="s">
        <v>2777</v>
      </c>
      <c r="D132" s="2830" t="s">
        <v>2778</v>
      </c>
      <c r="E132" s="2856">
        <v>0.1</v>
      </c>
      <c r="F132" s="2856">
        <v>15</v>
      </c>
    </row>
    <row r="133" spans="1:6" ht="13.5">
      <c r="A133" s="2856">
        <v>59</v>
      </c>
      <c r="B133" s="3489"/>
      <c r="C133" s="2856" t="s">
        <v>2779</v>
      </c>
      <c r="D133" s="2830" t="s">
        <v>2780</v>
      </c>
      <c r="E133" s="2856">
        <v>0.1</v>
      </c>
      <c r="F133" s="2856">
        <v>15</v>
      </c>
    </row>
    <row r="134" spans="1:6" ht="13.5">
      <c r="A134" s="2856">
        <v>60</v>
      </c>
      <c r="B134" s="3496" t="s">
        <v>2781</v>
      </c>
      <c r="C134" s="2856" t="s">
        <v>2782</v>
      </c>
      <c r="D134" s="2830" t="s">
        <v>2783</v>
      </c>
      <c r="E134" s="2856">
        <v>0.1</v>
      </c>
      <c r="F134" s="2856">
        <v>15</v>
      </c>
    </row>
    <row r="135" spans="1:6" ht="13.5">
      <c r="A135" s="2856">
        <v>61</v>
      </c>
      <c r="B135" s="3501"/>
      <c r="C135" s="2856" t="s">
        <v>2784</v>
      </c>
      <c r="D135" s="2830" t="s">
        <v>2785</v>
      </c>
      <c r="E135" s="2856">
        <v>0.1</v>
      </c>
      <c r="F135" s="2856">
        <v>15</v>
      </c>
    </row>
    <row r="136" spans="1:6" ht="24">
      <c r="A136" s="2856">
        <v>62</v>
      </c>
      <c r="B136" s="2856" t="s">
        <v>2786</v>
      </c>
      <c r="C136" s="2856" t="s">
        <v>2787</v>
      </c>
      <c r="D136" s="2830" t="s">
        <v>2788</v>
      </c>
      <c r="E136" s="2856">
        <v>0.1</v>
      </c>
      <c r="F136" s="2856">
        <v>15</v>
      </c>
    </row>
    <row r="137" spans="1:6" ht="13.5">
      <c r="A137" s="2856">
        <v>63</v>
      </c>
      <c r="B137" s="3489" t="s">
        <v>2789</v>
      </c>
      <c r="C137" s="2856" t="s">
        <v>2790</v>
      </c>
      <c r="D137" s="2830" t="s">
        <v>2791</v>
      </c>
      <c r="E137" s="2856">
        <v>0.1</v>
      </c>
      <c r="F137" s="2856">
        <v>15</v>
      </c>
    </row>
    <row r="138" spans="1:6" ht="13.5">
      <c r="A138" s="2856">
        <v>64</v>
      </c>
      <c r="B138" s="3489"/>
      <c r="C138" s="2856" t="s">
        <v>2792</v>
      </c>
      <c r="D138" s="2830" t="s">
        <v>2793</v>
      </c>
      <c r="E138" s="2856">
        <v>0.1</v>
      </c>
      <c r="F138" s="2856">
        <v>15</v>
      </c>
    </row>
    <row r="139" spans="1:6" ht="13.5">
      <c r="A139" s="2856">
        <v>65</v>
      </c>
      <c r="B139" s="2856" t="s">
        <v>2794</v>
      </c>
      <c r="C139" s="2856" t="s">
        <v>2795</v>
      </c>
      <c r="D139" s="2830" t="s">
        <v>2796</v>
      </c>
      <c r="E139" s="2856">
        <v>0.1</v>
      </c>
      <c r="F139" s="2856">
        <v>15</v>
      </c>
    </row>
    <row r="140" spans="1:6" ht="13.5">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3.5"/>
  <cols>
    <col min="1" max="13" width="9" style="2878"/>
  </cols>
  <sheetData>
    <row r="1" spans="1:20" ht="1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2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1.1214999999999999</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4.2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4.2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2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2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2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1.0668</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2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90" customWidth="1"/>
    <col min="2" max="2" width="37.25" style="1390" customWidth="1"/>
    <col min="3" max="3" width="11.375" style="1390" customWidth="1"/>
    <col min="4" max="4" width="31.75" style="1390" customWidth="1"/>
    <col min="5" max="5" width="0.5" style="1390" customWidth="1"/>
    <col min="6" max="7" width="13" style="1390" customWidth="1"/>
    <col min="8" max="16384" width="9" style="1390"/>
  </cols>
  <sheetData>
    <row r="1" spans="1:5" ht="18.75">
      <c r="A1" s="1389" t="s">
        <v>908</v>
      </c>
    </row>
    <row r="2" spans="1:5" ht="78" customHeight="1">
      <c r="A2" s="31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87"/>
      <c r="C2" s="3187"/>
      <c r="D2" s="3187"/>
      <c r="E2" s="3187"/>
    </row>
    <row r="3" spans="1:5" ht="18">
      <c r="A3" s="3188" t="str">
        <f>IF(项目基本情况!B9="房地产市场价值","估价结果一览表（市场价值不需“结果表-1”）","估价结果一览表")</f>
        <v>估价结果一览表（市场价值不需“结果表-1”）</v>
      </c>
      <c r="B3" s="3188"/>
      <c r="C3" s="3188"/>
      <c r="D3" s="3188"/>
      <c r="E3" s="3188"/>
    </row>
    <row r="4" spans="1:5" ht="19.5" thickBot="1">
      <c r="A4" s="1391"/>
      <c r="B4" s="3186" t="s">
        <v>917</v>
      </c>
      <c r="C4" s="3186"/>
      <c r="D4" s="3186"/>
      <c r="E4" s="1391"/>
    </row>
    <row r="5" spans="1:5" ht="16.5" thickTop="1">
      <c r="B5" s="3184" t="s">
        <v>909</v>
      </c>
      <c r="C5" s="1392" t="s">
        <v>910</v>
      </c>
      <c r="D5" s="797" t="e">
        <f ca="1">结果表!H101</f>
        <v>#REF!</v>
      </c>
    </row>
    <row r="6" spans="1:5" ht="15.75">
      <c r="B6" s="3184"/>
      <c r="C6" s="1392" t="s">
        <v>911</v>
      </c>
      <c r="D6" s="797" t="e">
        <f ca="1">NUMBERSTRING(INT(D5*10000),2)&amp;"元整"</f>
        <v>#REF!</v>
      </c>
    </row>
    <row r="7" spans="1:5" ht="15.75">
      <c r="B7" s="3189"/>
      <c r="C7" s="1393" t="s">
        <v>912</v>
      </c>
      <c r="D7" s="798" t="e">
        <f ca="1">结果表!H102</f>
        <v>#REF!</v>
      </c>
    </row>
    <row r="8" spans="1:5" ht="15.75">
      <c r="B8" s="3190" t="str">
        <f>结果表!E103</f>
        <v>2.估价师知悉的法定优先受偿款</v>
      </c>
      <c r="C8" s="1394" t="s">
        <v>913</v>
      </c>
      <c r="D8" s="798">
        <f>结果表!H103</f>
        <v>0</v>
      </c>
    </row>
    <row r="9" spans="1:5" ht="15.75">
      <c r="B9" s="3192"/>
      <c r="C9" s="1392" t="s">
        <v>911</v>
      </c>
      <c r="D9" s="797" t="str">
        <f>NUMBERSTRING(INT(D8*10000),2)&amp;"元整"</f>
        <v>零元整</v>
      </c>
    </row>
    <row r="10" spans="1:5" ht="15">
      <c r="B10" s="1395" t="s">
        <v>916</v>
      </c>
      <c r="C10" s="1396" t="s">
        <v>914</v>
      </c>
      <c r="D10" s="799">
        <f>结果表!H104</f>
        <v>0</v>
      </c>
    </row>
    <row r="11" spans="1:5" ht="15">
      <c r="B11" s="1395" t="s">
        <v>918</v>
      </c>
      <c r="C11" s="1396" t="s">
        <v>919</v>
      </c>
      <c r="D11" s="799">
        <f>结果表!H105</f>
        <v>0</v>
      </c>
    </row>
    <row r="12" spans="1:5" ht="15">
      <c r="B12" s="1395" t="s">
        <v>920</v>
      </c>
      <c r="C12" s="1396" t="s">
        <v>919</v>
      </c>
      <c r="D12" s="799">
        <f>结果表!H106</f>
        <v>0</v>
      </c>
    </row>
    <row r="13" spans="1:5" ht="15.75">
      <c r="B13" s="3183" t="str">
        <f>结果表!E107</f>
        <v>3.房地产抵押价值</v>
      </c>
      <c r="C13" s="1397" t="s">
        <v>910</v>
      </c>
      <c r="D13" s="800" t="e">
        <f ca="1">结果表!H107</f>
        <v>#REF!</v>
      </c>
    </row>
    <row r="14" spans="1:5" ht="15.75">
      <c r="B14" s="3184"/>
      <c r="C14" s="1392" t="s">
        <v>911</v>
      </c>
      <c r="D14" s="797" t="e">
        <f ca="1">NUMBERSTRING(INT(D13*10000),2)&amp;"元整"</f>
        <v>#REF!</v>
      </c>
    </row>
    <row r="15" spans="1:5" ht="15">
      <c r="B15" s="3189"/>
      <c r="C15" s="1393" t="s">
        <v>921</v>
      </c>
      <c r="D15" s="806" t="e">
        <f ca="1">结果表!H108</f>
        <v>#REF!</v>
      </c>
    </row>
    <row r="16" spans="1:5" ht="15">
      <c r="B16" s="3190" t="str">
        <f>结果表!E109</f>
        <v>——</v>
      </c>
      <c r="C16" s="1397" t="s">
        <v>922</v>
      </c>
      <c r="D16" s="1398" t="str">
        <f>结果表!H109</f>
        <v>——</v>
      </c>
    </row>
    <row r="17" spans="1:5" ht="15.75">
      <c r="B17" s="3191"/>
      <c r="C17" s="1392" t="s">
        <v>923</v>
      </c>
      <c r="D17" s="797" t="e">
        <f>NUMBERSTRING(INT(D16*10000),2)&amp;"元整"</f>
        <v>#VALUE!</v>
      </c>
    </row>
    <row r="18" spans="1:5" ht="15">
      <c r="B18" s="3192"/>
      <c r="C18" s="1393" t="s">
        <v>912</v>
      </c>
      <c r="D18" s="806" t="str">
        <f>结果表!H110</f>
        <v>——</v>
      </c>
    </row>
    <row r="19" spans="1:5" ht="15.75">
      <c r="B19" s="3183" t="str">
        <f>结果表!E111</f>
        <v>——</v>
      </c>
      <c r="C19" s="1397" t="s">
        <v>910</v>
      </c>
      <c r="D19" s="798" t="str">
        <f>结果表!H111</f>
        <v>——</v>
      </c>
    </row>
    <row r="20" spans="1:5" ht="15.75">
      <c r="B20" s="3184"/>
      <c r="C20" s="1392" t="s">
        <v>923</v>
      </c>
      <c r="D20" s="797" t="e">
        <f>NUMBERSTRING(INT(D19*10000),2)&amp;"元整"</f>
        <v>#VALUE!</v>
      </c>
    </row>
    <row r="21" spans="1:5" ht="15.75" thickBot="1">
      <c r="B21" s="3185"/>
      <c r="C21" s="1399" t="s">
        <v>921</v>
      </c>
      <c r="D21" s="807" t="str">
        <f>结果表!H112</f>
        <v>——</v>
      </c>
    </row>
    <row r="22" spans="1:5" ht="15" thickTop="1">
      <c r="B22" s="1400" t="s">
        <v>924</v>
      </c>
    </row>
    <row r="24" spans="1:5" ht="18.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26149</v>
      </c>
      <c r="C2" s="2" t="s">
        <v>106</v>
      </c>
      <c r="D2" s="191"/>
      <c r="E2" s="191"/>
      <c r="F2" s="191"/>
      <c r="G2" s="191"/>
    </row>
    <row r="3" spans="1:7" s="192" customFormat="1" ht="18" customHeight="1" thickBot="1">
      <c r="A3" s="195" t="s">
        <v>58</v>
      </c>
      <c r="B3" s="196">
        <f ca="1">ROUND(B2*10000/'数据-汇总表'!E3,0)</f>
        <v>7986866</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32.74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32.74</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0.01</v>
      </c>
      <c r="D21" s="228" t="s">
        <v>99</v>
      </c>
      <c r="E21" s="224"/>
      <c r="F21" s="225">
        <f>'数据-取费表'!B38</f>
        <v>0.01</v>
      </c>
      <c r="G21" s="226" t="s">
        <v>79</v>
      </c>
    </row>
    <row r="22" spans="1:7" s="206" customFormat="1" ht="13.5" customHeight="1">
      <c r="A22" s="731" t="s">
        <v>341</v>
      </c>
      <c r="B22" s="202" t="s">
        <v>80</v>
      </c>
      <c r="C22" s="1041">
        <f ca="1">ROUND(SUM(C23:C25),0)</f>
        <v>1323</v>
      </c>
      <c r="D22" s="227">
        <f ca="1">C26</f>
        <v>2.9999999999999997E-4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4">
      <c r="A25" s="734" t="s">
        <v>348</v>
      </c>
      <c r="B25" s="207" t="s">
        <v>420</v>
      </c>
      <c r="C25" s="1042">
        <f ca="1">ROUND(IF('数据-取费表'!B22&lt;=1,C20*F22*'数据-取费表'!B23/2,C20*(POWER((1+F22),'数据-取费表'!B23/2)-1)),0)</f>
        <v>13</v>
      </c>
      <c r="D25" s="230"/>
      <c r="E25" s="233"/>
      <c r="F25" s="231"/>
      <c r="G25" s="234" t="s">
        <v>83</v>
      </c>
    </row>
    <row r="26" spans="1:7" s="206" customFormat="1">
      <c r="A26" s="734" t="s">
        <v>350</v>
      </c>
      <c r="B26" s="207" t="s">
        <v>422</v>
      </c>
      <c r="C26" s="230">
        <f ca="1">ROUND(IF('数据-取费表'!B22&lt;=1,F21*F22*'数据-取费表'!B23/2,F21*(POWER((1+F22),'数据-取费表'!B23/2)-1)),4)</f>
        <v>2.9999999999999997E-4</v>
      </c>
      <c r="D26" s="230"/>
      <c r="E26" s="233"/>
      <c r="F26" s="231"/>
      <c r="G26" s="235"/>
    </row>
    <row r="27" spans="1:7" s="206" customFormat="1" ht="24.75">
      <c r="A27" s="731" t="s">
        <v>342</v>
      </c>
      <c r="B27" s="236" t="s">
        <v>85</v>
      </c>
      <c r="C27" s="237">
        <f>C28</f>
        <v>2102</v>
      </c>
      <c r="D27" s="227">
        <f>C29</f>
        <v>1E-3</v>
      </c>
      <c r="E27" s="228" t="s">
        <v>99</v>
      </c>
      <c r="F27" s="238">
        <f>'数据-取费表'!Q16</f>
        <v>0.1</v>
      </c>
      <c r="G27" s="239" t="s">
        <v>431</v>
      </c>
    </row>
    <row r="28" spans="1:7" s="206" customFormat="1" ht="13.5" customHeight="1">
      <c r="A28" s="734" t="s">
        <v>349</v>
      </c>
      <c r="B28" s="240" t="s">
        <v>424</v>
      </c>
      <c r="C28" s="241">
        <f>ROUND((C5+C19+C20)*F27*'数据-取费表'!B21/'数据-取费表'!B20,0)</f>
        <v>2102</v>
      </c>
      <c r="D28" s="227"/>
      <c r="E28" s="228"/>
      <c r="F28" s="238"/>
      <c r="G28" s="239"/>
    </row>
    <row r="29" spans="1:7" s="206" customFormat="1" ht="13.5" customHeight="1">
      <c r="A29" s="734" t="s">
        <v>347</v>
      </c>
      <c r="B29" s="240" t="s">
        <v>425</v>
      </c>
      <c r="C29" s="230">
        <f>ROUND(C21*F27*'数据-取费表'!B21/'数据-取费表'!B20,4)</f>
        <v>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26137</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13</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11</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32.74</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0.01</v>
      </c>
      <c r="D40" s="228" t="s">
        <v>102</v>
      </c>
      <c r="E40" s="224"/>
      <c r="F40" s="225"/>
      <c r="G40" s="226" t="s">
        <v>93</v>
      </c>
    </row>
    <row r="41" spans="1:7" s="206" customFormat="1" ht="13.5" customHeight="1">
      <c r="A41" s="731" t="s">
        <v>340</v>
      </c>
      <c r="B41" s="202" t="s">
        <v>80</v>
      </c>
      <c r="C41" s="224">
        <f ca="1">ROUND(SUM(C42:C43),0)</f>
        <v>0</v>
      </c>
      <c r="D41" s="227">
        <f ca="1">C44</f>
        <v>2.9999999999999997E-4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0</v>
      </c>
      <c r="D42" s="230"/>
      <c r="E42" s="230"/>
      <c r="F42" s="231"/>
      <c r="G42" s="3364" t="s">
        <v>94</v>
      </c>
    </row>
    <row r="43" spans="1:7" ht="13.5" customHeight="1">
      <c r="A43" s="734" t="s">
        <v>347</v>
      </c>
      <c r="B43" s="207" t="s">
        <v>426</v>
      </c>
      <c r="C43" s="230">
        <f ca="1">ROUND(IF('数据-取费表'!B22&lt;=1,C39*F22*'数据-取费表'!B21/2,C39*(POWER((1+F22),'数据-取费表'!B21/2)-1)),0)</f>
        <v>0</v>
      </c>
      <c r="D43" s="230"/>
      <c r="E43" s="230"/>
      <c r="F43" s="231"/>
      <c r="G43" s="3365"/>
    </row>
    <row r="44" spans="1:7" ht="13.5" customHeight="1">
      <c r="A44" s="734" t="s">
        <v>348</v>
      </c>
      <c r="B44" s="207" t="s">
        <v>428</v>
      </c>
      <c r="C44" s="230">
        <f ca="1">ROUND(IF('数据-取费表'!B22&lt;=1,C40*F22*'数据-取费表'!B21/2,C40*(POWER((1+F22),'数据-取费表'!B21/2)-1)),4)</f>
        <v>2.9999999999999997E-4</v>
      </c>
      <c r="D44" s="230"/>
      <c r="E44" s="230"/>
      <c r="F44" s="231"/>
      <c r="G44" s="3366"/>
    </row>
    <row r="45" spans="1:7" s="206" customFormat="1" ht="13.5" customHeight="1">
      <c r="A45" s="731" t="s">
        <v>341</v>
      </c>
      <c r="B45" s="236" t="s">
        <v>85</v>
      </c>
      <c r="C45" s="237">
        <f>C46</f>
        <v>1</v>
      </c>
      <c r="D45" s="227">
        <f>C47</f>
        <v>1E-3</v>
      </c>
      <c r="E45" s="228" t="s">
        <v>102</v>
      </c>
      <c r="F45" s="238"/>
      <c r="G45" s="239" t="s">
        <v>434</v>
      </c>
    </row>
    <row r="46" spans="1:7" s="206" customFormat="1" ht="13.5" customHeight="1">
      <c r="A46" s="734" t="s">
        <v>349</v>
      </c>
      <c r="B46" s="240" t="s">
        <v>427</v>
      </c>
      <c r="C46" s="241">
        <f>ROUND((C33+C39)*F27,0)</f>
        <v>1</v>
      </c>
      <c r="D46" s="255"/>
      <c r="E46" s="228"/>
      <c r="F46" s="238"/>
      <c r="G46" s="239"/>
    </row>
    <row r="47" spans="1:7" s="206" customFormat="1" ht="13.5" customHeight="1">
      <c r="A47" s="734" t="s">
        <v>347</v>
      </c>
      <c r="B47" s="240" t="s">
        <v>429</v>
      </c>
      <c r="C47" s="230">
        <f>ROUND(C40*F27,4)</f>
        <v>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15</v>
      </c>
      <c r="D49" s="224"/>
      <c r="E49" s="224"/>
      <c r="F49" s="256"/>
      <c r="G49" s="226" t="s">
        <v>435</v>
      </c>
    </row>
    <row r="50" spans="1:7" s="250" customFormat="1" ht="24">
      <c r="A50" s="731" t="s">
        <v>344</v>
      </c>
      <c r="B50" s="202" t="s">
        <v>97</v>
      </c>
      <c r="C50" s="224"/>
      <c r="D50" s="224"/>
      <c r="E50" s="224"/>
      <c r="F50" s="256">
        <f>IF('数据-取费表'!B24=0,'数据-取费表'!N16,1)</f>
        <v>0.8</v>
      </c>
      <c r="G50" s="239" t="s">
        <v>98</v>
      </c>
    </row>
    <row r="51" spans="1:7" ht="16.5" customHeight="1">
      <c r="A51" s="731" t="s">
        <v>345</v>
      </c>
      <c r="B51" s="202" t="s">
        <v>105</v>
      </c>
      <c r="C51" s="224">
        <f ca="1">ROUND(C49*F50,0)</f>
        <v>12</v>
      </c>
      <c r="D51" s="224"/>
      <c r="E51" s="224"/>
      <c r="F51" s="256"/>
      <c r="G51" s="226" t="s">
        <v>37</v>
      </c>
    </row>
    <row r="52" spans="1:7" s="200" customFormat="1" ht="16.5" thickBot="1">
      <c r="A52" s="257" t="s">
        <v>38</v>
      </c>
      <c r="B52" s="258"/>
      <c r="C52" s="259">
        <f ca="1">C31+C51</f>
        <v>26149</v>
      </c>
      <c r="D52" s="258"/>
      <c r="E52" s="258"/>
      <c r="F52" s="258"/>
      <c r="G52" s="260"/>
    </row>
    <row r="55" spans="1:7" ht="15">
      <c r="B55" s="262" t="s">
        <v>39</v>
      </c>
      <c r="C55" s="263"/>
    </row>
    <row r="56" spans="1:7">
      <c r="B56" s="265" t="s">
        <v>40</v>
      </c>
      <c r="C56" s="266">
        <f ca="1">ROUND(C51/C52,3)</f>
        <v>0</v>
      </c>
    </row>
    <row r="57" spans="1:7">
      <c r="B57" s="265" t="s">
        <v>41</v>
      </c>
      <c r="C57" s="267">
        <f ca="1">1-C56</f>
        <v>1</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75" defaultRowHeight="13.5"/>
  <cols>
    <col min="1" max="1" width="12.625" style="2966" customWidth="1"/>
    <col min="2" max="2" width="20" style="2966" customWidth="1"/>
    <col min="3" max="7" width="8.875" style="2966"/>
    <col min="8" max="16384" width="8.875" style="2812"/>
  </cols>
  <sheetData>
    <row r="1" spans="1:7">
      <c r="A1" s="3502" t="s">
        <v>3181</v>
      </c>
      <c r="B1" s="3502"/>
    </row>
    <row r="2" spans="1:7" ht="14.25" thickBot="1">
      <c r="A2" s="2967"/>
      <c r="B2" s="2967"/>
    </row>
    <row r="3" spans="1:7" ht="14.25" thickBot="1">
      <c r="A3" s="2967"/>
      <c r="B3" s="2967"/>
      <c r="C3" s="2968" t="s">
        <v>2811</v>
      </c>
      <c r="D3" s="2968" t="s">
        <v>2867</v>
      </c>
      <c r="E3" s="2968" t="s">
        <v>2813</v>
      </c>
      <c r="F3" s="2968" t="s">
        <v>2868</v>
      </c>
      <c r="G3" s="2968" t="s">
        <v>2631</v>
      </c>
    </row>
    <row r="4" spans="1:7" ht="14.2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2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2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2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2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2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2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2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2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2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2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2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2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5" defaultRowHeight="13.5"/>
  <cols>
    <col min="1" max="16384" width="13.25" style="2812"/>
  </cols>
  <sheetData>
    <row r="1" spans="1:6" ht="14.25">
      <c r="A1" s="3503" t="s">
        <v>3232</v>
      </c>
      <c r="B1" s="3503"/>
      <c r="C1" s="3503"/>
      <c r="D1" s="3503"/>
      <c r="E1" s="3503"/>
      <c r="F1" s="3504"/>
    </row>
    <row r="2" spans="1:6" ht="14.25">
      <c r="A2" s="3001" t="s">
        <v>3233</v>
      </c>
    </row>
    <row r="3" spans="1:6" ht="14.25">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2936">
        <f>基准地价修正!G23</f>
        <v>46015</v>
      </c>
      <c r="B1" s="2928" t="s">
        <v>3376</v>
      </c>
      <c r="C1" s="2929"/>
      <c r="D1" s="2929"/>
      <c r="E1" s="2929"/>
      <c r="F1" s="2929"/>
      <c r="G1" s="2929"/>
      <c r="H1" s="2929"/>
      <c r="I1" s="2929"/>
      <c r="J1" s="2895"/>
      <c r="K1" s="2929" t="s">
        <v>454</v>
      </c>
      <c r="L1" s="2929"/>
      <c r="M1" s="2929"/>
      <c r="N1" s="2929"/>
      <c r="O1" s="2929"/>
      <c r="P1" s="2929"/>
      <c r="Q1" s="2895"/>
      <c r="R1" s="3505" t="s">
        <v>456</v>
      </c>
      <c r="S1" s="3506"/>
      <c r="T1" s="3506"/>
      <c r="U1" s="3506"/>
      <c r="V1" s="3506"/>
      <c r="W1" s="3506"/>
      <c r="X1" s="2895"/>
      <c r="Y1" s="3505" t="s">
        <v>457</v>
      </c>
      <c r="Z1" s="3506"/>
      <c r="AA1" s="3506"/>
      <c r="AB1" s="3506"/>
      <c r="AC1" s="3506"/>
      <c r="AD1" s="3506"/>
    </row>
    <row r="2" spans="1:44" s="2008" customFormat="1" ht="14.25" thickBot="1">
      <c r="B2" s="2880"/>
      <c r="C2" s="2881"/>
      <c r="D2" s="2009" t="s">
        <v>2810</v>
      </c>
      <c r="E2" s="2010" t="s">
        <v>2811</v>
      </c>
      <c r="F2" s="2010" t="s">
        <v>2812</v>
      </c>
      <c r="G2" s="2010" t="s">
        <v>2813</v>
      </c>
      <c r="H2" s="2010" t="s">
        <v>2814</v>
      </c>
      <c r="I2" s="2010" t="s">
        <v>2631</v>
      </c>
      <c r="J2" s="2882"/>
      <c r="K2" s="2009" t="s">
        <v>2810</v>
      </c>
      <c r="L2" s="2010" t="s">
        <v>2811</v>
      </c>
      <c r="M2" s="2010" t="s">
        <v>2812</v>
      </c>
      <c r="N2" s="2010" t="s">
        <v>2813</v>
      </c>
      <c r="O2" s="2010" t="s">
        <v>2815</v>
      </c>
      <c r="P2" s="2010" t="s">
        <v>2631</v>
      </c>
      <c r="Q2" s="2882"/>
      <c r="R2" s="2009" t="s">
        <v>2810</v>
      </c>
      <c r="S2" s="2010" t="s">
        <v>2811</v>
      </c>
      <c r="T2" s="2010" t="s">
        <v>2812</v>
      </c>
      <c r="U2" s="2010" t="s">
        <v>2816</v>
      </c>
      <c r="V2" s="2010" t="s">
        <v>2817</v>
      </c>
      <c r="W2" s="2010" t="s">
        <v>2631</v>
      </c>
      <c r="X2" s="2882"/>
      <c r="Y2" s="2009" t="s">
        <v>2810</v>
      </c>
      <c r="Z2" s="2010" t="s">
        <v>2811</v>
      </c>
      <c r="AA2" s="2010" t="s">
        <v>2812</v>
      </c>
      <c r="AB2" s="2010" t="s">
        <v>2818</v>
      </c>
      <c r="AC2" s="2010" t="s">
        <v>2817</v>
      </c>
      <c r="AD2" s="2010" t="s">
        <v>2631</v>
      </c>
      <c r="AF2" t="s">
        <v>3401</v>
      </c>
      <c r="AG2" t="s">
        <v>673</v>
      </c>
      <c r="AH2" t="s">
        <v>21</v>
      </c>
      <c r="AI2" t="s">
        <v>3402</v>
      </c>
      <c r="AJ2" t="s">
        <v>3</v>
      </c>
      <c r="AK2" t="s">
        <v>3403</v>
      </c>
      <c r="AM2" t="s">
        <v>3401</v>
      </c>
      <c r="AN2" t="s">
        <v>673</v>
      </c>
      <c r="AO2" t="s">
        <v>21</v>
      </c>
      <c r="AP2" t="s">
        <v>3402</v>
      </c>
      <c r="AQ2" t="s">
        <v>3</v>
      </c>
      <c r="AR2" t="s">
        <v>3403</v>
      </c>
    </row>
    <row r="3" spans="1:44" s="2885" customFormat="1" ht="12.75">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7" customFormat="1" ht="12.75">
      <c r="B4" s="2023"/>
      <c r="J4" s="2895"/>
      <c r="K4" s="2896"/>
      <c r="L4" s="2897"/>
      <c r="M4" s="2897"/>
      <c r="N4" s="2897"/>
      <c r="O4" s="2897"/>
      <c r="P4" s="2897"/>
      <c r="Q4" s="2895"/>
      <c r="R4" s="2025"/>
      <c r="S4" s="2898"/>
      <c r="T4" s="2899"/>
      <c r="U4" s="2025"/>
      <c r="V4" s="2900"/>
      <c r="W4" s="2025"/>
      <c r="X4" s="2895"/>
      <c r="Y4" s="2026"/>
      <c r="Z4" s="2901"/>
      <c r="AA4" s="2902"/>
      <c r="AB4" s="2026"/>
      <c r="AC4" s="2903"/>
      <c r="AD4" s="2026"/>
    </row>
    <row r="5" spans="1:44" s="2043" customFormat="1">
      <c r="A5" s="2038" t="s">
        <v>3400</v>
      </c>
      <c r="B5" s="2029">
        <v>2025</v>
      </c>
      <c r="C5" s="2040">
        <v>4</v>
      </c>
      <c r="D5" s="2005">
        <v>0</v>
      </c>
      <c r="E5" s="2005">
        <v>0</v>
      </c>
      <c r="F5" s="2005">
        <v>0</v>
      </c>
      <c r="G5" s="2005">
        <v>0</v>
      </c>
      <c r="H5" s="2005">
        <v>0</v>
      </c>
      <c r="I5" s="2006">
        <f t="shared" ref="I5" si="4">F5</f>
        <v>0</v>
      </c>
      <c r="J5" s="2905"/>
      <c r="K5" s="2041">
        <f t="shared" ref="K5" si="5">D5/100</f>
        <v>0</v>
      </c>
      <c r="L5" s="2026">
        <f t="shared" ref="L5" si="6">E5/100</f>
        <v>0</v>
      </c>
      <c r="M5" s="2026">
        <f t="shared" ref="M5" si="7">F5/100</f>
        <v>0</v>
      </c>
      <c r="N5" s="2026">
        <f t="shared" ref="N5" si="8">G5/100</f>
        <v>0</v>
      </c>
      <c r="O5" s="2026">
        <f t="shared" ref="O5" si="9">H5/100</f>
        <v>0</v>
      </c>
      <c r="P5" s="2026">
        <f t="shared" ref="P5:P11" si="10">M5</f>
        <v>0</v>
      </c>
      <c r="Q5" s="2905"/>
      <c r="R5" s="2025">
        <f>ROUND(IF(项目基本情况!$B$8="出让",SUMPRODUCT(PRODUCT(1+K5:$K$24)),SUMPRODUCT(PRODUCT(1+K5:$K$23))),4)</f>
        <v>1.0529999999999999</v>
      </c>
      <c r="S5" s="2025">
        <f>ROUND(IF(项目基本情况!$B$8="出让",SUMPRODUCT(PRODUCT(1+L5:$L$24)),SUMPRODUCT(PRODUCT(1+L5:$L$23))),4)</f>
        <v>1.0251999999999999</v>
      </c>
      <c r="T5" s="2025">
        <f>ROUND(IF(项目基本情况!$B$8="出让",SUMPRODUCT(PRODUCT(1+M5:$M$24)),SUMPRODUCT(PRODUCT(1+M5:$M$23))),4)</f>
        <v>0.97289999999999999</v>
      </c>
      <c r="U5" s="2025">
        <f>ROUND(IF(项目基本情况!$B$8="出让",SUMPRODUCT(PRODUCT(1+N5:$N$24)),SUMPRODUCT(PRODUCT(1+N5:$N$23))),4)</f>
        <v>1.0647</v>
      </c>
      <c r="V5" s="2025">
        <f>ROUND(IF(项目基本情况!$B$8="出让",SUMPRODUCT(PRODUCT(1+O5:$O$24)),SUMPRODUCT(PRODUCT(1+O5:$O$23))),4)</f>
        <v>1.0894999999999999</v>
      </c>
      <c r="W5" s="2025">
        <f t="shared" ref="W5:W11" si="11">T5</f>
        <v>0.97289999999999999</v>
      </c>
      <c r="X5" s="2905"/>
      <c r="Y5" s="2026">
        <f t="shared" ref="Y5:Y11" si="12">IF(D5=0,0,ROUND(AVERAGE(D5:D18)/100,4))</f>
        <v>0</v>
      </c>
      <c r="Z5" s="2026">
        <f t="shared" ref="Z5" si="13">IF(E5=0,0,ROUND(AVERAGE(E5:E18)/100,4))</f>
        <v>0</v>
      </c>
      <c r="AA5" s="2026">
        <f t="shared" ref="AA5" si="14">IF(F5=0,0,ROUND(AVERAGE(F5:F18)/100,4))</f>
        <v>0</v>
      </c>
      <c r="AB5" s="2026">
        <f t="shared" ref="AB5" si="15">IF(G5=0,0,ROUND(AVERAGE(G5:G18)/100,4))</f>
        <v>0</v>
      </c>
      <c r="AC5" s="2026">
        <f t="shared" ref="AC5" si="16">IF(H5=0,0,ROUND(AVERAGE(H5:H18)/100,4))</f>
        <v>0</v>
      </c>
      <c r="AD5" s="2026">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2.75">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3" customFormat="1" ht="12.75">
      <c r="A7" s="2038" t="s">
        <v>3415</v>
      </c>
      <c r="B7" s="2029">
        <v>2025</v>
      </c>
      <c r="C7" s="2040">
        <v>2</v>
      </c>
      <c r="D7" s="2005">
        <v>0.05</v>
      </c>
      <c r="E7" s="2005">
        <v>-0.62</v>
      </c>
      <c r="F7" s="2005">
        <v>-1.05</v>
      </c>
      <c r="G7" s="2005">
        <v>0.09</v>
      </c>
      <c r="H7" s="2005">
        <v>0.17</v>
      </c>
      <c r="I7" s="2006">
        <f t="shared" ref="I7" si="37">F7</f>
        <v>-1.05</v>
      </c>
      <c r="J7" s="2905"/>
      <c r="K7" s="2041">
        <f t="shared" ref="K7" si="38">D7/100</f>
        <v>5.0000000000000001E-4</v>
      </c>
      <c r="L7" s="2026">
        <f t="shared" ref="L7" si="39">E7/100</f>
        <v>-6.1999999999999998E-3</v>
      </c>
      <c r="M7" s="2026">
        <f t="shared" ref="M7" si="40">F7/100</f>
        <v>-1.0500000000000001E-2</v>
      </c>
      <c r="N7" s="2026">
        <f t="shared" ref="N7" si="41">G7/100</f>
        <v>8.9999999999999998E-4</v>
      </c>
      <c r="O7" s="2026">
        <f t="shared" ref="O7" si="42">H7/100</f>
        <v>1.7000000000000001E-3</v>
      </c>
      <c r="P7" s="2026">
        <f t="shared" si="10"/>
        <v>-1.0500000000000001E-2</v>
      </c>
      <c r="Q7" s="2905"/>
      <c r="R7" s="2025">
        <f>ROUND(IF(项目基本情况!$B$8="出让",SUMPRODUCT(PRODUCT(1+K7:$K$24)),SUMPRODUCT(PRODUCT(1+K7:$K$23))),4)</f>
        <v>1.0577000000000001</v>
      </c>
      <c r="S7" s="2025">
        <f>ROUND(IF(项目基本情况!$B$8="出让",SUMPRODUCT(PRODUCT(1+L7:$L$24)),SUMPRODUCT(PRODUCT(1+L7:$L$23))),4)</f>
        <v>1.0275000000000001</v>
      </c>
      <c r="T7" s="2025">
        <f>ROUND(IF(项目基本情况!$B$8="出让",SUMPRODUCT(PRODUCT(1+M7:$M$24)),SUMPRODUCT(PRODUCT(1+M7:$M$23))),4)</f>
        <v>0.98089999999999999</v>
      </c>
      <c r="U7" s="2025">
        <f>ROUND(IF(项目基本情况!$B$8="出让",SUMPRODUCT(PRODUCT(1+N7:$N$24)),SUMPRODUCT(PRODUCT(1+N7:$N$23))),4)</f>
        <v>1.0689</v>
      </c>
      <c r="V7" s="2025">
        <f>ROUND(IF(项目基本情况!$B$8="出让",SUMPRODUCT(PRODUCT(1+O7:$O$24)),SUMPRODUCT(PRODUCT(1+O7:$O$23))),4)</f>
        <v>1.0891</v>
      </c>
      <c r="W7" s="2025">
        <f t="shared" si="11"/>
        <v>0.98089999999999999</v>
      </c>
      <c r="X7" s="2905"/>
      <c r="Y7" s="2026">
        <f t="shared" si="12"/>
        <v>2.3E-3</v>
      </c>
      <c r="Z7" s="2026">
        <f t="shared" ref="Z7" si="43">IF(E7=0,0,ROUND(AVERAGE(E7:E20)/100,4))</f>
        <v>1E-3</v>
      </c>
      <c r="AA7" s="2026">
        <f t="shared" ref="AA7" si="44">IF(F7=0,0,ROUND(AVERAGE(F7:F20)/100,4))</f>
        <v>-1.9E-3</v>
      </c>
      <c r="AB7" s="2026">
        <f t="shared" ref="AB7" si="45">IF(G7=0,0,ROUND(AVERAGE(G7:G20)/100,4))</f>
        <v>2.8999999999999998E-3</v>
      </c>
      <c r="AC7" s="2026">
        <f t="shared" ref="AC7" si="46">IF(H7=0,0,ROUND(AVERAGE(H7:H20)/100,4))</f>
        <v>4.7000000000000002E-3</v>
      </c>
      <c r="AD7" s="2026">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3" customFormat="1" ht="12.75">
      <c r="A8" s="2038" t="s">
        <v>3406</v>
      </c>
      <c r="B8" s="2029">
        <v>2025</v>
      </c>
      <c r="C8" s="2040">
        <v>1</v>
      </c>
      <c r="D8" s="2005">
        <v>0.56999999999999995</v>
      </c>
      <c r="E8" s="2005">
        <v>-0.56999999999999995</v>
      </c>
      <c r="F8" s="2005">
        <v>-0.9</v>
      </c>
      <c r="G8" s="2005">
        <v>1.1200000000000001</v>
      </c>
      <c r="H8" s="2005">
        <v>0.42</v>
      </c>
      <c r="I8" s="2006">
        <f t="shared" ref="I8" si="54">F8</f>
        <v>-0.9</v>
      </c>
      <c r="J8" s="2905"/>
      <c r="K8" s="2041">
        <f t="shared" ref="K8" si="55">D8/100</f>
        <v>5.6999999999999993E-3</v>
      </c>
      <c r="L8" s="2026">
        <f t="shared" ref="L8" si="56">E8/100</f>
        <v>-5.6999999999999993E-3</v>
      </c>
      <c r="M8" s="2026">
        <f t="shared" ref="M8" si="57">F8/100</f>
        <v>-9.0000000000000011E-3</v>
      </c>
      <c r="N8" s="2026">
        <f t="shared" ref="N8" si="58">G8/100</f>
        <v>1.1200000000000002E-2</v>
      </c>
      <c r="O8" s="2026">
        <f t="shared" ref="O8" si="59">H8/100</f>
        <v>4.1999999999999997E-3</v>
      </c>
      <c r="P8" s="2026">
        <f t="shared" si="10"/>
        <v>-9.0000000000000011E-3</v>
      </c>
      <c r="Q8" s="2905"/>
      <c r="R8" s="2025">
        <f>ROUND(IF(项目基本情况!$B$8="出让",SUMPRODUCT(PRODUCT(1+K8:$K$24)),SUMPRODUCT(PRODUCT(1+K8:$K$23))),4)</f>
        <v>1.0571999999999999</v>
      </c>
      <c r="S8" s="2025">
        <f>ROUND(IF(项目基本情况!$B$8="出让",SUMPRODUCT(PRODUCT(1+L8:$L$24)),SUMPRODUCT(PRODUCT(1+L8:$L$23))),4)</f>
        <v>1.0339</v>
      </c>
      <c r="T8" s="2025">
        <f>ROUND(IF(项目基本情况!$B$8="出让",SUMPRODUCT(PRODUCT(1+M8:$M$24)),SUMPRODUCT(PRODUCT(1+M8:$M$23))),4)</f>
        <v>0.99129999999999996</v>
      </c>
      <c r="U8" s="2025">
        <f>ROUND(IF(项目基本情况!$B$8="出让",SUMPRODUCT(PRODUCT(1+N8:$N$24)),SUMPRODUCT(PRODUCT(1+N8:$N$23))),4)</f>
        <v>1.0679000000000001</v>
      </c>
      <c r="V8" s="2025">
        <f>ROUND(IF(项目基本情况!$B$8="出让",SUMPRODUCT(PRODUCT(1+O8:$O$24)),SUMPRODUCT(PRODUCT(1+O8:$O$23))),4)</f>
        <v>1.0871999999999999</v>
      </c>
      <c r="W8" s="2025">
        <f t="shared" si="11"/>
        <v>0.99129999999999996</v>
      </c>
      <c r="X8" s="2905"/>
      <c r="Y8" s="2026">
        <f t="shared" si="12"/>
        <v>3.0000000000000001E-3</v>
      </c>
      <c r="Z8" s="2026">
        <f t="shared" ref="Z8" si="60">IF(E8=0,0,ROUND(AVERAGE(E8:E21)/100,4))</f>
        <v>1.6000000000000001E-3</v>
      </c>
      <c r="AA8" s="2026">
        <f t="shared" ref="AA8" si="61">IF(F8=0,0,ROUND(AVERAGE(F8:F21)/100,4))</f>
        <v>-1.1000000000000001E-3</v>
      </c>
      <c r="AB8" s="2026">
        <f t="shared" ref="AB8" si="62">IF(G8=0,0,ROUND(AVERAGE(G8:G21)/100,4))</f>
        <v>3.7000000000000002E-3</v>
      </c>
      <c r="AC8" s="2026">
        <f t="shared" ref="AC8" si="63">IF(H8=0,0,ROUND(AVERAGE(H8:H21)/100,4))</f>
        <v>4.8999999999999998E-3</v>
      </c>
      <c r="AD8" s="2026">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3" customFormat="1" ht="12.75">
      <c r="A9" s="2038" t="s">
        <v>3405</v>
      </c>
      <c r="B9" s="2029">
        <v>2024</v>
      </c>
      <c r="C9" s="2040">
        <v>4</v>
      </c>
      <c r="D9" s="2005">
        <v>-1.02</v>
      </c>
      <c r="E9" s="2005">
        <v>-0.48</v>
      </c>
      <c r="F9" s="2005">
        <v>-0.75</v>
      </c>
      <c r="G9" s="2005">
        <v>-1.05</v>
      </c>
      <c r="H9" s="2005">
        <v>0.08</v>
      </c>
      <c r="I9" s="2006">
        <f t="shared" ref="I9" si="65">F9</f>
        <v>-0.75</v>
      </c>
      <c r="J9" s="2905"/>
      <c r="K9" s="2041">
        <f t="shared" ref="K9" si="66">D9/100</f>
        <v>-1.0200000000000001E-2</v>
      </c>
      <c r="L9" s="2026">
        <f t="shared" ref="L9" si="67">E9/100</f>
        <v>-4.7999999999999996E-3</v>
      </c>
      <c r="M9" s="2026">
        <f t="shared" ref="M9" si="68">F9/100</f>
        <v>-7.4999999999999997E-3</v>
      </c>
      <c r="N9" s="2026">
        <f t="shared" ref="N9" si="69">G9/100</f>
        <v>-1.0500000000000001E-2</v>
      </c>
      <c r="O9" s="2026">
        <f t="shared" ref="O9" si="70">H9/100</f>
        <v>8.0000000000000004E-4</v>
      </c>
      <c r="P9" s="2026">
        <f t="shared" si="10"/>
        <v>-7.4999999999999997E-3</v>
      </c>
      <c r="Q9" s="2905"/>
      <c r="R9" s="2025">
        <f>ROUND(IF(项目基本情况!$B$8="出让",SUMPRODUCT(PRODUCT(1+K9:$K$24)),SUMPRODUCT(PRODUCT(1+K9:$K$23))),4)</f>
        <v>1.0511999999999999</v>
      </c>
      <c r="S9" s="2025">
        <f>ROUND(IF(项目基本情况!$B$8="出让",SUMPRODUCT(PRODUCT(1+L9:$L$24)),SUMPRODUCT(PRODUCT(1+L9:$L$23))),4)</f>
        <v>1.0398000000000001</v>
      </c>
      <c r="T9" s="2025">
        <f>ROUND(IF(项目基本情况!$B$8="出让",SUMPRODUCT(PRODUCT(1+M9:$M$24)),SUMPRODUCT(PRODUCT(1+M9:$M$23))),4)</f>
        <v>1.0003</v>
      </c>
      <c r="U9" s="2025">
        <f>ROUND(IF(项目基本情况!$B$8="出让",SUMPRODUCT(PRODUCT(1+N9:$N$24)),SUMPRODUCT(PRODUCT(1+N9:$N$23))),4)</f>
        <v>1.0561</v>
      </c>
      <c r="V9" s="2025">
        <f>ROUND(IF(项目基本情况!$B$8="出让",SUMPRODUCT(PRODUCT(1+O9:$O$24)),SUMPRODUCT(PRODUCT(1+O9:$O$23))),4)</f>
        <v>1.0827</v>
      </c>
      <c r="W9" s="2025">
        <f t="shared" si="11"/>
        <v>1.0003</v>
      </c>
      <c r="X9" s="2905"/>
      <c r="Y9" s="2026">
        <f t="shared" si="12"/>
        <v>2.8999999999999998E-3</v>
      </c>
      <c r="Z9" s="2026">
        <f t="shared" ref="Z9" si="71">IF(E9=0,0,ROUND(AVERAGE(E9:E22)/100,4))</f>
        <v>2.3E-3</v>
      </c>
      <c r="AA9" s="2026">
        <f t="shared" ref="AA9" si="72">IF(F9=0,0,ROUND(AVERAGE(F9:F22)/100,4))</f>
        <v>-2.9999999999999997E-4</v>
      </c>
      <c r="AB9" s="2026">
        <f t="shared" ref="AB9" si="73">IF(G9=0,0,ROUND(AVERAGE(G9:G22)/100,4))</f>
        <v>3.3E-3</v>
      </c>
      <c r="AC9" s="2026">
        <f t="shared" ref="AC9" si="74">IF(H9=0,0,ROUND(AVERAGE(H9:H22)/100,4))</f>
        <v>5.0000000000000001E-3</v>
      </c>
      <c r="AD9" s="2026">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3" customFormat="1" ht="12.75">
      <c r="A10" s="2038" t="s">
        <v>3380</v>
      </c>
      <c r="B10" s="2029">
        <v>2024</v>
      </c>
      <c r="C10" s="2040">
        <v>3</v>
      </c>
      <c r="D10" s="2005">
        <v>-1.19</v>
      </c>
      <c r="E10" s="2005">
        <v>-0.47</v>
      </c>
      <c r="F10" s="2005">
        <v>-0.28999999999999998</v>
      </c>
      <c r="G10" s="2005">
        <v>-0.74</v>
      </c>
      <c r="H10" s="2005">
        <v>-0.21</v>
      </c>
      <c r="I10" s="2006">
        <f t="shared" ref="I10" si="76">F10</f>
        <v>-0.28999999999999998</v>
      </c>
      <c r="J10" s="2905"/>
      <c r="K10" s="2041">
        <f t="shared" ref="K10" si="77">D10/100</f>
        <v>-1.1899999999999999E-2</v>
      </c>
      <c r="L10" s="2026">
        <f t="shared" ref="L10" si="78">E10/100</f>
        <v>-4.6999999999999993E-3</v>
      </c>
      <c r="M10" s="2026">
        <f t="shared" ref="M10" si="79">F10/100</f>
        <v>-2.8999999999999998E-3</v>
      </c>
      <c r="N10" s="2026">
        <f t="shared" ref="N10" si="80">G10/100</f>
        <v>-7.4000000000000003E-3</v>
      </c>
      <c r="O10" s="2026">
        <f t="shared" ref="O10" si="81">H10/100</f>
        <v>-2.0999999999999999E-3</v>
      </c>
      <c r="P10" s="2026">
        <f t="shared" si="10"/>
        <v>-2.8999999999999998E-3</v>
      </c>
      <c r="Q10" s="2905"/>
      <c r="R10" s="2025">
        <f>ROUND(IF(项目基本情况!$B$8="出让",SUMPRODUCT(PRODUCT(1+K10:$K$24)),SUMPRODUCT(PRODUCT(1+K10:$K$23))),4)</f>
        <v>1.0620000000000001</v>
      </c>
      <c r="S10" s="2025">
        <f>ROUND(IF(项目基本情况!$B$8="出让",SUMPRODUCT(PRODUCT(1+L10:$L$24)),SUMPRODUCT(PRODUCT(1+L10:$L$23))),4)</f>
        <v>1.0448</v>
      </c>
      <c r="T10" s="2025">
        <f>ROUND(IF(项目基本情况!$B$8="出让",SUMPRODUCT(PRODUCT(1+M10:$M$24)),SUMPRODUCT(PRODUCT(1+M10:$M$23))),4)</f>
        <v>1.0079</v>
      </c>
      <c r="U10" s="2025">
        <f>ROUND(IF(项目基本情况!$B$8="出让",SUMPRODUCT(PRODUCT(1+N10:$N$24)),SUMPRODUCT(PRODUCT(1+N10:$N$23))),4)</f>
        <v>1.0672999999999999</v>
      </c>
      <c r="V10" s="2025">
        <f>ROUND(IF(项目基本情况!$B$8="出让",SUMPRODUCT(PRODUCT(1+O10:$O$24)),SUMPRODUCT(PRODUCT(1+O10:$O$23))),4)</f>
        <v>1.0818000000000001</v>
      </c>
      <c r="W10" s="2025">
        <f t="shared" si="11"/>
        <v>1.0079</v>
      </c>
      <c r="X10" s="2905"/>
      <c r="Y10" s="2026">
        <f t="shared" si="12"/>
        <v>4.3E-3</v>
      </c>
      <c r="Z10" s="2026">
        <f t="shared" ref="Z10" si="82">IF(E10=0,0,ROUND(AVERAGE(E10:E23)/100,4))</f>
        <v>3.0999999999999999E-3</v>
      </c>
      <c r="AA10" s="2026">
        <f t="shared" ref="AA10" si="83">IF(F10=0,0,ROUND(AVERAGE(F10:F23)/100,4))</f>
        <v>5.9999999999999995E-4</v>
      </c>
      <c r="AB10" s="2026">
        <f t="shared" ref="AB10" si="84">IF(G10=0,0,ROUND(AVERAGE(G10:G23)/100,4))</f>
        <v>4.7000000000000002E-3</v>
      </c>
      <c r="AC10" s="2026">
        <f t="shared" ref="AC10" si="85">IF(H10=0,0,ROUND(AVERAGE(H10:H23)/100,4))</f>
        <v>5.5999999999999999E-3</v>
      </c>
      <c r="AD10" s="2026">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3" customFormat="1" ht="12.75">
      <c r="A11" s="2904" t="s">
        <v>3374</v>
      </c>
      <c r="B11" s="2029">
        <v>2024</v>
      </c>
      <c r="C11" s="2040">
        <v>2</v>
      </c>
      <c r="D11" s="2005">
        <v>-0.59</v>
      </c>
      <c r="E11" s="2005">
        <v>-0.21</v>
      </c>
      <c r="F11" s="2005">
        <v>-1.38</v>
      </c>
      <c r="G11" s="2005">
        <v>-1.24</v>
      </c>
      <c r="H11" s="2916">
        <v>0.34</v>
      </c>
      <c r="I11" s="2006">
        <f t="shared" ref="I11:I24" si="87">F11</f>
        <v>-1.38</v>
      </c>
      <c r="J11" s="2905"/>
      <c r="K11" s="2041">
        <f t="shared" ref="K11:O24" si="88">D11/100</f>
        <v>-5.8999999999999999E-3</v>
      </c>
      <c r="L11" s="2026">
        <f t="shared" si="88"/>
        <v>-2.0999999999999999E-3</v>
      </c>
      <c r="M11" s="2026">
        <f t="shared" si="88"/>
        <v>-1.38E-2</v>
      </c>
      <c r="N11" s="2026">
        <f t="shared" si="88"/>
        <v>-1.24E-2</v>
      </c>
      <c r="O11" s="2026">
        <f t="shared" si="88"/>
        <v>3.4000000000000002E-3</v>
      </c>
      <c r="P11" s="2026">
        <f t="shared" si="10"/>
        <v>-1.38E-2</v>
      </c>
      <c r="Q11" s="2905"/>
      <c r="R11" s="2025">
        <f>ROUND(IF(项目基本情况!$B$8="出让",SUMPRODUCT(PRODUCT(1+K11:$K$24)),SUMPRODUCT(PRODUCT(1+K11:$K$23))),4)</f>
        <v>1.0748</v>
      </c>
      <c r="S11" s="2025">
        <f>ROUND(IF(项目基本情况!$B$8="出让",SUMPRODUCT(PRODUCT(1+L11:$L$24)),SUMPRODUCT(PRODUCT(1+L11:$L$23))),4)</f>
        <v>1.0498000000000001</v>
      </c>
      <c r="T11" s="2025">
        <f>ROUND(IF(项目基本情况!$B$8="出让",SUMPRODUCT(PRODUCT(1+M11:$M$24)),SUMPRODUCT(PRODUCT(1+M11:$M$23))),4)</f>
        <v>1.0107999999999999</v>
      </c>
      <c r="U11" s="2025">
        <f>ROUND(IF(项目基本情况!$B$8="出让",SUMPRODUCT(PRODUCT(1+N11:$N$24)),SUMPRODUCT(PRODUCT(1+N11:$N$23))),4)</f>
        <v>1.0752999999999999</v>
      </c>
      <c r="V11" s="2025">
        <f>ROUND(IF(项目基本情况!$B$8="出让",SUMPRODUCT(PRODUCT(1+O11:$O$24)),SUMPRODUCT(PRODUCT(1+O11:$O$23))),4)</f>
        <v>1.0841000000000001</v>
      </c>
      <c r="W11" s="2025">
        <f t="shared" si="11"/>
        <v>1.0107999999999999</v>
      </c>
      <c r="X11" s="2905"/>
      <c r="Y11" s="2026">
        <f t="shared" si="12"/>
        <v>5.8999999999999999E-3</v>
      </c>
      <c r="Z11" s="2026">
        <f t="shared" ref="Z11:AC11" si="89">IF(E11=0,0,ROUND(AVERAGE(E11:E24)/100,4))</f>
        <v>3.5999999999999999E-3</v>
      </c>
      <c r="AA11" s="2026">
        <f t="shared" si="89"/>
        <v>5.9999999999999995E-4</v>
      </c>
      <c r="AB11" s="2026">
        <f t="shared" si="89"/>
        <v>6.0000000000000001E-3</v>
      </c>
      <c r="AC11" s="2026">
        <f t="shared" si="89"/>
        <v>6.0000000000000001E-3</v>
      </c>
      <c r="AD11" s="2026">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3" customFormat="1" ht="12.75">
      <c r="A12" s="2904" t="s">
        <v>3373</v>
      </c>
      <c r="B12" s="2029">
        <v>2024</v>
      </c>
      <c r="C12" s="2040">
        <v>1</v>
      </c>
      <c r="D12" s="2005">
        <v>0.08</v>
      </c>
      <c r="E12" s="2005">
        <v>0.46</v>
      </c>
      <c r="F12" s="2005">
        <v>-0.16</v>
      </c>
      <c r="G12" s="2005">
        <v>0.26</v>
      </c>
      <c r="H12" s="2916">
        <v>0.59</v>
      </c>
      <c r="I12" s="2006">
        <f t="shared" si="87"/>
        <v>-0.16</v>
      </c>
      <c r="J12" s="2905"/>
      <c r="K12" s="2041">
        <f t="shared" ref="K12" si="91">D12/100</f>
        <v>8.0000000000000004E-4</v>
      </c>
      <c r="L12" s="2026">
        <f t="shared" ref="L12" si="92">E12/100</f>
        <v>4.5999999999999999E-3</v>
      </c>
      <c r="M12" s="2026">
        <f t="shared" ref="M12" si="93">F12/100</f>
        <v>-1.6000000000000001E-3</v>
      </c>
      <c r="N12" s="2026">
        <f t="shared" ref="N12" si="94">G12/100</f>
        <v>2.5999999999999999E-3</v>
      </c>
      <c r="O12" s="2026">
        <f t="shared" ref="O12" si="95">H12/100</f>
        <v>5.8999999999999999E-3</v>
      </c>
      <c r="P12" s="2026">
        <f t="shared" ref="P12" si="96">M12</f>
        <v>-1.6000000000000001E-3</v>
      </c>
      <c r="Q12" s="2905"/>
      <c r="R12" s="2025">
        <f>ROUND(IF(项目基本情况!$B$8="出让",SUMPRODUCT(PRODUCT(1+K12:$K$24)),SUMPRODUCT(PRODUCT(1+K12:$K$23))),4)</f>
        <v>1.0811999999999999</v>
      </c>
      <c r="S12" s="2025">
        <f>ROUND(IF(项目基本情况!$B$8="出让",SUMPRODUCT(PRODUCT(1+L12:$L$24)),SUMPRODUCT(PRODUCT(1+L12:$L$23))),4)</f>
        <v>1.052</v>
      </c>
      <c r="T12" s="2025">
        <f>ROUND(IF(项目基本情况!$B$8="出让",SUMPRODUCT(PRODUCT(1+M12:$M$24)),SUMPRODUCT(PRODUCT(1+M12:$M$23))),4)</f>
        <v>1.0249999999999999</v>
      </c>
      <c r="U12" s="2025">
        <f>ROUND(IF(项目基本情况!$B$8="出让",SUMPRODUCT(PRODUCT(1+N12:$N$24)),SUMPRODUCT(PRODUCT(1+N12:$N$23))),4)</f>
        <v>1.0888</v>
      </c>
      <c r="V12" s="2025">
        <f>ROUND(IF(项目基本情况!$B$8="出让",SUMPRODUCT(PRODUCT(1+O12:$O$24)),SUMPRODUCT(PRODUCT(1+O12:$O$23))),4)</f>
        <v>1.0804</v>
      </c>
      <c r="W12" s="2025">
        <f t="shared" ref="W12" si="97">T12</f>
        <v>1.0249999999999999</v>
      </c>
      <c r="X12" s="2905"/>
      <c r="Y12" s="2026"/>
      <c r="Z12" s="2026"/>
      <c r="AA12" s="2026"/>
      <c r="AB12" s="2026"/>
      <c r="AC12" s="2026"/>
      <c r="AD12" s="2026"/>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3" customFormat="1" ht="12.75">
      <c r="A13" s="2904" t="s">
        <v>3369</v>
      </c>
      <c r="B13" s="2029">
        <v>2023</v>
      </c>
      <c r="C13" s="2040">
        <v>4</v>
      </c>
      <c r="D13" s="2005">
        <v>0.19</v>
      </c>
      <c r="E13" s="2005">
        <v>0.24</v>
      </c>
      <c r="F13" s="2005">
        <v>-0.16</v>
      </c>
      <c r="G13" s="2005">
        <v>0.17</v>
      </c>
      <c r="H13" s="2916">
        <v>0.61</v>
      </c>
      <c r="I13" s="2006">
        <f>F13</f>
        <v>-0.16</v>
      </c>
      <c r="J13" s="2905"/>
      <c r="K13" s="2041">
        <f t="shared" si="88"/>
        <v>1.9E-3</v>
      </c>
      <c r="L13" s="2026">
        <f t="shared" si="88"/>
        <v>2.3999999999999998E-3</v>
      </c>
      <c r="M13" s="2026">
        <f t="shared" si="88"/>
        <v>-1.6000000000000001E-3</v>
      </c>
      <c r="N13" s="2026">
        <f t="shared" si="88"/>
        <v>1.7000000000000001E-3</v>
      </c>
      <c r="O13" s="2026">
        <f t="shared" si="88"/>
        <v>6.0999999999999995E-3</v>
      </c>
      <c r="P13" s="2026">
        <f t="shared" ref="P13" si="98">M13</f>
        <v>-1.6000000000000001E-3</v>
      </c>
      <c r="Q13" s="2905"/>
      <c r="R13" s="2025">
        <f>ROUND(IF(项目基本情况!$B$8="出让",SUMPRODUCT(PRODUCT(1+K13:$K$24)),SUMPRODUCT(PRODUCT(1+K13:$K$23))),4)</f>
        <v>1.0804</v>
      </c>
      <c r="S13" s="2025">
        <f>ROUND(IF(项目基本情况!$B$8="出让",SUMPRODUCT(PRODUCT(1+L13:$L$24)),SUMPRODUCT(PRODUCT(1+L13:$L$23))),4)</f>
        <v>1.0471999999999999</v>
      </c>
      <c r="T13" s="2025">
        <f>ROUND(IF(项目基本情况!$B$8="出让",SUMPRODUCT(PRODUCT(1+M13:$M$24)),SUMPRODUCT(PRODUCT(1+M13:$M$23))),4)</f>
        <v>1.0266</v>
      </c>
      <c r="U13" s="2025">
        <f>ROUND(IF(项目基本情况!$B$8="出让",SUMPRODUCT(PRODUCT(1+N13:$N$24)),SUMPRODUCT(PRODUCT(1+N13:$N$23))),4)</f>
        <v>1.0859000000000001</v>
      </c>
      <c r="V13" s="2025">
        <f>ROUND(IF(项目基本情况!$B$8="出让",SUMPRODUCT(PRODUCT(1+O13:$O$24)),SUMPRODUCT(PRODUCT(1+O13:$O$23))),4)</f>
        <v>1.0741000000000001</v>
      </c>
      <c r="W13" s="2025">
        <f t="shared" ref="W13" si="99">T13</f>
        <v>1.0266</v>
      </c>
      <c r="X13" s="2905"/>
      <c r="Y13" s="2026"/>
      <c r="Z13" s="2026"/>
      <c r="AA13" s="2026"/>
      <c r="AB13" s="2026"/>
      <c r="AC13" s="2026"/>
      <c r="AD13" s="2026"/>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3" customFormat="1" ht="12.75">
      <c r="A14" s="2904" t="s">
        <v>3368</v>
      </c>
      <c r="B14" s="2029">
        <v>2023</v>
      </c>
      <c r="C14" s="2040">
        <v>3</v>
      </c>
      <c r="D14" s="2005">
        <v>0.25</v>
      </c>
      <c r="E14" s="2005">
        <v>0.5</v>
      </c>
      <c r="F14" s="2005">
        <v>0.31</v>
      </c>
      <c r="G14" s="2005">
        <v>0.21</v>
      </c>
      <c r="H14" s="2916">
        <v>0.43</v>
      </c>
      <c r="I14" s="2006">
        <f t="shared" si="87"/>
        <v>0.31</v>
      </c>
      <c r="J14" s="2905"/>
      <c r="K14" s="2041">
        <f t="shared" ref="K14:K16" si="100">D14/100</f>
        <v>2.5000000000000001E-3</v>
      </c>
      <c r="L14" s="2026">
        <f t="shared" ref="L14:L16" si="101">E14/100</f>
        <v>5.0000000000000001E-3</v>
      </c>
      <c r="M14" s="2026">
        <f t="shared" ref="M14:M16" si="102">F14/100</f>
        <v>3.0999999999999999E-3</v>
      </c>
      <c r="N14" s="2026">
        <f t="shared" ref="N14:N16" si="103">G14/100</f>
        <v>2.0999999999999999E-3</v>
      </c>
      <c r="O14" s="2026">
        <f t="shared" ref="O14:O16" si="104">H14/100</f>
        <v>4.3E-3</v>
      </c>
      <c r="P14" s="2026">
        <f t="shared" ref="P14:P16" si="105">M14</f>
        <v>3.0999999999999999E-3</v>
      </c>
      <c r="Q14" s="2905"/>
      <c r="R14" s="2025">
        <f>ROUND(IF(项目基本情况!$B$8="出让",SUMPRODUCT(PRODUCT(1+K14:$K$24)),SUMPRODUCT(PRODUCT(1+K14:$K$23))),4)</f>
        <v>1.0783</v>
      </c>
      <c r="S14" s="2025">
        <f>ROUND(IF(项目基本情况!$B$8="出让",SUMPRODUCT(PRODUCT(1+L14:$L$24)),SUMPRODUCT(PRODUCT(1+L14:$L$23))),4)</f>
        <v>1.0447</v>
      </c>
      <c r="T14" s="2025">
        <f>ROUND(IF(项目基本情况!$B$8="出让",SUMPRODUCT(PRODUCT(1+M14:$M$24)),SUMPRODUCT(PRODUCT(1+M14:$M$23))),4)</f>
        <v>1.0282</v>
      </c>
      <c r="U14" s="2025">
        <f>ROUND(IF(项目基本情况!$B$8="出让",SUMPRODUCT(PRODUCT(1+N14:$N$24)),SUMPRODUCT(PRODUCT(1+N14:$N$23))),4)</f>
        <v>1.0841000000000001</v>
      </c>
      <c r="V14" s="2025">
        <f>ROUND(IF(项目基本情况!$B$8="出让",SUMPRODUCT(PRODUCT(1+O14:$O$24)),SUMPRODUCT(PRODUCT(1+O14:$O$23))),4)</f>
        <v>1.0674999999999999</v>
      </c>
      <c r="W14" s="2025">
        <f t="shared" ref="W14:W15" si="106">T14</f>
        <v>1.0282</v>
      </c>
      <c r="X14" s="2905"/>
      <c r="Y14" s="2026"/>
      <c r="Z14" s="2026"/>
      <c r="AA14" s="2026"/>
      <c r="AB14" s="2026"/>
      <c r="AC14" s="2026"/>
      <c r="AD14" s="2026"/>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3" customFormat="1" ht="12.75">
      <c r="A15" s="2904" t="s">
        <v>3366</v>
      </c>
      <c r="B15" s="2029">
        <v>2023</v>
      </c>
      <c r="C15" s="2040">
        <v>2</v>
      </c>
      <c r="D15" s="2005">
        <v>0.91</v>
      </c>
      <c r="E15" s="2005">
        <v>0.66</v>
      </c>
      <c r="F15" s="2005">
        <v>0.47</v>
      </c>
      <c r="G15" s="2005">
        <v>0.96</v>
      </c>
      <c r="H15" s="2916">
        <v>0.71</v>
      </c>
      <c r="I15" s="2006">
        <f t="shared" si="87"/>
        <v>0.47</v>
      </c>
      <c r="J15" s="2905"/>
      <c r="K15" s="2041">
        <f t="shared" si="100"/>
        <v>9.1000000000000004E-3</v>
      </c>
      <c r="L15" s="2026">
        <f t="shared" si="101"/>
        <v>6.6E-3</v>
      </c>
      <c r="M15" s="2026">
        <f t="shared" si="102"/>
        <v>4.6999999999999993E-3</v>
      </c>
      <c r="N15" s="2026">
        <f t="shared" si="103"/>
        <v>9.5999999999999992E-3</v>
      </c>
      <c r="O15" s="2026">
        <f t="shared" si="104"/>
        <v>7.0999999999999995E-3</v>
      </c>
      <c r="P15" s="2026">
        <f t="shared" si="105"/>
        <v>4.6999999999999993E-3</v>
      </c>
      <c r="Q15" s="2905"/>
      <c r="R15" s="2025">
        <f>ROUND(IF(项目基本情况!$B$8="出让",SUMPRODUCT(PRODUCT(1+K15:$K$24)),SUMPRODUCT(PRODUCT(1+K15:$K$23))),4)</f>
        <v>1.0755999999999999</v>
      </c>
      <c r="S15" s="2025">
        <f>ROUND(IF(项目基本情况!$B$8="出让",SUMPRODUCT(PRODUCT(1+L15:$L$24)),SUMPRODUCT(PRODUCT(1+L15:$L$23))),4)</f>
        <v>1.0395000000000001</v>
      </c>
      <c r="T15" s="2025">
        <f>ROUND(IF(项目基本情况!$B$8="出让",SUMPRODUCT(PRODUCT(1+M15:$M$24)),SUMPRODUCT(PRODUCT(1+M15:$M$23))),4)</f>
        <v>1.0250999999999999</v>
      </c>
      <c r="U15" s="2025">
        <f>ROUND(IF(项目基本情况!$B$8="出让",SUMPRODUCT(PRODUCT(1+N15:$N$24)),SUMPRODUCT(PRODUCT(1+N15:$N$23))),4)</f>
        <v>1.0818000000000001</v>
      </c>
      <c r="V15" s="2025">
        <f>ROUND(IF(项目基本情况!$B$8="出让",SUMPRODUCT(PRODUCT(1+O15:$O$24)),SUMPRODUCT(PRODUCT(1+O15:$O$23))),4)</f>
        <v>1.0629999999999999</v>
      </c>
      <c r="W15" s="2025">
        <f t="shared" si="106"/>
        <v>1.0250999999999999</v>
      </c>
      <c r="X15" s="2905"/>
      <c r="Y15" s="2026"/>
      <c r="Z15" s="2026"/>
      <c r="AA15" s="2026"/>
      <c r="AB15" s="2026"/>
      <c r="AC15" s="2026"/>
      <c r="AD15" s="2026"/>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3" customFormat="1" ht="12.75">
      <c r="A16" s="2904" t="s">
        <v>3365</v>
      </c>
      <c r="B16" s="2029">
        <v>2023</v>
      </c>
      <c r="C16" s="2040">
        <v>1</v>
      </c>
      <c r="D16" s="2005">
        <v>0.89</v>
      </c>
      <c r="E16" s="2005">
        <v>0.74</v>
      </c>
      <c r="F16" s="2005">
        <v>0.56999999999999995</v>
      </c>
      <c r="G16" s="2005">
        <v>0.92</v>
      </c>
      <c r="H16" s="2916">
        <v>0.5</v>
      </c>
      <c r="I16" s="2006">
        <f t="shared" si="87"/>
        <v>0.56999999999999995</v>
      </c>
      <c r="J16" s="2905"/>
      <c r="K16" s="2041">
        <f t="shared" si="100"/>
        <v>8.8999999999999999E-3</v>
      </c>
      <c r="L16" s="2026">
        <f t="shared" si="101"/>
        <v>7.4000000000000003E-3</v>
      </c>
      <c r="M16" s="2026">
        <f t="shared" si="102"/>
        <v>5.6999999999999993E-3</v>
      </c>
      <c r="N16" s="2026">
        <f t="shared" si="103"/>
        <v>9.1999999999999998E-3</v>
      </c>
      <c r="O16" s="2026">
        <f t="shared" si="104"/>
        <v>5.0000000000000001E-3</v>
      </c>
      <c r="P16" s="2026">
        <f t="shared" si="105"/>
        <v>5.6999999999999993E-3</v>
      </c>
      <c r="Q16" s="2905"/>
      <c r="R16" s="2025">
        <f>ROUND(IF(项目基本情况!$B$8="出让",SUMPRODUCT(PRODUCT(1+K16:$K$24)),SUMPRODUCT(PRODUCT(1+K16:$K$23))),4)</f>
        <v>1.0659000000000001</v>
      </c>
      <c r="S16" s="2025">
        <f>ROUND(IF(项目基本情况!$B$8="出让",SUMPRODUCT(PRODUCT(1+L16:$L$24)),SUMPRODUCT(PRODUCT(1+L16:$L$23))),4)</f>
        <v>1.0326</v>
      </c>
      <c r="T16" s="2025">
        <f>ROUND(IF(项目基本情况!$B$8="出让",SUMPRODUCT(PRODUCT(1+M16:$M$24)),SUMPRODUCT(PRODUCT(1+M16:$M$23))),4)</f>
        <v>1.0203</v>
      </c>
      <c r="U16" s="2025">
        <f>ROUND(IF(项目基本情况!$B$8="出让",SUMPRODUCT(PRODUCT(1+N16:$N$24)),SUMPRODUCT(PRODUCT(1+N16:$N$23))),4)</f>
        <v>1.0714999999999999</v>
      </c>
      <c r="V16" s="2025">
        <f>ROUND(IF(项目基本情况!$B$8="出让",SUMPRODUCT(PRODUCT(1+O16:$O$24)),SUMPRODUCT(PRODUCT(1+O16:$O$23))),4)</f>
        <v>1.0555000000000001</v>
      </c>
      <c r="W16" s="2025">
        <f t="shared" ref="W16:W23" si="107">T16</f>
        <v>1.0203</v>
      </c>
      <c r="X16" s="2905"/>
      <c r="Y16" s="2026"/>
      <c r="Z16" s="2026"/>
      <c r="AA16" s="2026"/>
      <c r="AB16" s="2026"/>
      <c r="AC16" s="2026"/>
      <c r="AD16" s="2026"/>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3" customFormat="1" ht="12.75">
      <c r="A17" s="2904" t="s">
        <v>3364</v>
      </c>
      <c r="B17" s="2029">
        <v>2022</v>
      </c>
      <c r="C17" s="2040">
        <v>4</v>
      </c>
      <c r="D17" s="2005">
        <v>0.62</v>
      </c>
      <c r="E17" s="2005">
        <v>0.2</v>
      </c>
      <c r="F17" s="2005">
        <v>0.11</v>
      </c>
      <c r="G17" s="2005">
        <v>0.69</v>
      </c>
      <c r="H17" s="2916">
        <v>0.53</v>
      </c>
      <c r="I17" s="2006">
        <f t="shared" si="87"/>
        <v>0.11</v>
      </c>
      <c r="J17" s="2905"/>
      <c r="K17" s="2041">
        <f t="shared" si="88"/>
        <v>6.1999999999999998E-3</v>
      </c>
      <c r="L17" s="2026">
        <f t="shared" si="88"/>
        <v>2E-3</v>
      </c>
      <c r="M17" s="2026">
        <f t="shared" si="88"/>
        <v>1.1000000000000001E-3</v>
      </c>
      <c r="N17" s="2026">
        <f t="shared" si="88"/>
        <v>6.8999999999999999E-3</v>
      </c>
      <c r="O17" s="2026">
        <f t="shared" si="88"/>
        <v>5.3E-3</v>
      </c>
      <c r="P17" s="2026">
        <f t="shared" ref="P17:P24" si="108">M17</f>
        <v>1.1000000000000001E-3</v>
      </c>
      <c r="Q17" s="2905"/>
      <c r="R17" s="2025">
        <f>ROUND(IF(项目基本情况!$B$8="出让",SUMPRODUCT(PRODUCT(1+K17:$K$24)),SUMPRODUCT(PRODUCT(1+K17:$K$23))),4)</f>
        <v>1.0565</v>
      </c>
      <c r="S17" s="2025">
        <f>ROUND(IF(项目基本情况!$B$8="出让",SUMPRODUCT(PRODUCT(1+L17:$L$24)),SUMPRODUCT(PRODUCT(1+L17:$L$23))),4)</f>
        <v>1.0250999999999999</v>
      </c>
      <c r="T17" s="2025">
        <f>ROUND(IF(项目基本情况!$B$8="出让",SUMPRODUCT(PRODUCT(1+M17:$M$24)),SUMPRODUCT(PRODUCT(1+M17:$M$23))),4)</f>
        <v>1.0145</v>
      </c>
      <c r="U17" s="2025">
        <f>ROUND(IF(项目基本情况!$B$8="出让",SUMPRODUCT(PRODUCT(1+N17:$N$24)),SUMPRODUCT(PRODUCT(1+N17:$N$23))),4)</f>
        <v>1.0618000000000001</v>
      </c>
      <c r="V17" s="2025">
        <f>ROUND(IF(项目基本情况!$B$8="出让",SUMPRODUCT(PRODUCT(1+O17:$O$24)),SUMPRODUCT(PRODUCT(1+O17:$O$23))),4)</f>
        <v>1.0502</v>
      </c>
      <c r="W17" s="2025">
        <f t="shared" si="107"/>
        <v>1.0145</v>
      </c>
      <c r="X17" s="2905"/>
      <c r="Y17" s="2026">
        <f>IF(D17=0,0,ROUND(AVERAGE(D17:D25)/100,4))</f>
        <v>8.0999999999999996E-3</v>
      </c>
      <c r="Z17" s="2026">
        <f t="shared" ref="Z17:AC17" si="109">IF(E17=0,0,ROUND(AVERAGE(E17:E24)/100,4))</f>
        <v>3.3E-3</v>
      </c>
      <c r="AA17" s="2026">
        <f t="shared" si="109"/>
        <v>1.5E-3</v>
      </c>
      <c r="AB17" s="2026">
        <f t="shared" si="109"/>
        <v>8.8999999999999999E-3</v>
      </c>
      <c r="AC17" s="2026">
        <f t="shared" si="109"/>
        <v>6.6E-3</v>
      </c>
      <c r="AD17" s="2026">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3" customFormat="1" ht="12.75">
      <c r="A18" s="2904" t="s">
        <v>3362</v>
      </c>
      <c r="B18" s="2029">
        <v>2022</v>
      </c>
      <c r="C18" s="2040">
        <v>3</v>
      </c>
      <c r="D18" s="2005">
        <v>0.66</v>
      </c>
      <c r="E18" s="2005">
        <v>0.32</v>
      </c>
      <c r="F18" s="2005">
        <v>0.23</v>
      </c>
      <c r="G18" s="2005">
        <v>0.72</v>
      </c>
      <c r="H18" s="2916">
        <v>0.63</v>
      </c>
      <c r="I18" s="2006">
        <f t="shared" si="87"/>
        <v>0.23</v>
      </c>
      <c r="J18" s="2905"/>
      <c r="K18" s="2041">
        <f t="shared" si="88"/>
        <v>6.6E-3</v>
      </c>
      <c r="L18" s="2026">
        <f t="shared" si="88"/>
        <v>3.2000000000000002E-3</v>
      </c>
      <c r="M18" s="2026">
        <f t="shared" si="88"/>
        <v>2.3E-3</v>
      </c>
      <c r="N18" s="2026">
        <f t="shared" si="88"/>
        <v>7.1999999999999998E-3</v>
      </c>
      <c r="O18" s="2026">
        <f t="shared" si="88"/>
        <v>6.3E-3</v>
      </c>
      <c r="P18" s="2026">
        <f t="shared" si="108"/>
        <v>2.3E-3</v>
      </c>
      <c r="Q18" s="2905"/>
      <c r="R18" s="2025">
        <f>ROUND(IF(项目基本情况!$B$8="出让",SUMPRODUCT(PRODUCT(1+K18:$K$24)),SUMPRODUCT(PRODUCT(1+K18:$K$23))),4)</f>
        <v>1.05</v>
      </c>
      <c r="S18" s="2025">
        <f>ROUND(IF(项目基本情况!$B$8="出让",SUMPRODUCT(PRODUCT(1+L18:$L$24)),SUMPRODUCT(PRODUCT(1+L18:$L$23))),4)</f>
        <v>1.0229999999999999</v>
      </c>
      <c r="T18" s="2025">
        <f>ROUND(IF(项目基本情况!$B$8="出让",SUMPRODUCT(PRODUCT(1+M18:$M$24)),SUMPRODUCT(PRODUCT(1+M18:$M$23))),4)</f>
        <v>1.0134000000000001</v>
      </c>
      <c r="U18" s="2025">
        <f>ROUND(IF(项目基本情况!$B$8="出让",SUMPRODUCT(PRODUCT(1+N18:$N$24)),SUMPRODUCT(PRODUCT(1+N18:$N$23))),4)</f>
        <v>1.0545</v>
      </c>
      <c r="V18" s="2025">
        <f>ROUND(IF(项目基本情况!$B$8="出让",SUMPRODUCT(PRODUCT(1+O18:$O$24)),SUMPRODUCT(PRODUCT(1+O18:$O$23))),4)</f>
        <v>1.0447</v>
      </c>
      <c r="W18" s="2025">
        <f t="shared" si="107"/>
        <v>1.0134000000000001</v>
      </c>
      <c r="X18" s="2905"/>
      <c r="Y18" s="2026">
        <f>IF(D18=0,0,ROUND(AVERAGE(D18:D24)/100,4))</f>
        <v>8.3999999999999995E-3</v>
      </c>
      <c r="Z18" s="2026">
        <f t="shared" ref="Z18:AC18" si="110">IF(E18=0,0,ROUND(AVERAGE(E18:E24)/100,4))</f>
        <v>3.5000000000000001E-3</v>
      </c>
      <c r="AA18" s="2026">
        <f t="shared" si="110"/>
        <v>1.5E-3</v>
      </c>
      <c r="AB18" s="2026">
        <f t="shared" si="110"/>
        <v>9.1999999999999998E-3</v>
      </c>
      <c r="AC18" s="2026">
        <f t="shared" si="110"/>
        <v>6.7999999999999996E-3</v>
      </c>
      <c r="AD18" s="2026">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3" customFormat="1" ht="12.75">
      <c r="A19" s="2904" t="s">
        <v>3353</v>
      </c>
      <c r="B19" s="2029">
        <v>2022</v>
      </c>
      <c r="C19" s="2040">
        <v>2</v>
      </c>
      <c r="D19" s="2005">
        <v>0.93</v>
      </c>
      <c r="E19" s="2005">
        <v>0.15</v>
      </c>
      <c r="F19" s="2005">
        <v>0.01</v>
      </c>
      <c r="G19" s="2005">
        <v>1.05</v>
      </c>
      <c r="H19" s="2916">
        <v>1.08</v>
      </c>
      <c r="I19" s="2006">
        <f t="shared" si="87"/>
        <v>0.01</v>
      </c>
      <c r="J19" s="2905"/>
      <c r="K19" s="2041">
        <f t="shared" si="88"/>
        <v>9.300000000000001E-3</v>
      </c>
      <c r="L19" s="2026">
        <f t="shared" si="88"/>
        <v>1.5E-3</v>
      </c>
      <c r="M19" s="2026">
        <f t="shared" si="88"/>
        <v>1E-4</v>
      </c>
      <c r="N19" s="2026">
        <f t="shared" si="88"/>
        <v>1.0500000000000001E-2</v>
      </c>
      <c r="O19" s="2026">
        <f t="shared" si="88"/>
        <v>1.0800000000000001E-2</v>
      </c>
      <c r="P19" s="2026">
        <f t="shared" si="108"/>
        <v>1E-4</v>
      </c>
      <c r="Q19" s="2905"/>
      <c r="R19" s="2025">
        <f>ROUND(IF(项目基本情况!$B$8="出让",SUMPRODUCT(PRODUCT(1+K19:$K$24)),SUMPRODUCT(PRODUCT(1+K19:$K$23))),4)</f>
        <v>1.0430999999999999</v>
      </c>
      <c r="S19" s="2025">
        <f>ROUND(IF(项目基本情况!$B$8="出让",SUMPRODUCT(PRODUCT(1+L19:$L$24)),SUMPRODUCT(PRODUCT(1+L19:$L$23))),4)</f>
        <v>1.0197000000000001</v>
      </c>
      <c r="T19" s="2025">
        <f>ROUND(IF(项目基本情况!$B$8="出让",SUMPRODUCT(PRODUCT(1+M19:$M$24)),SUMPRODUCT(PRODUCT(1+M19:$M$23))),4)</f>
        <v>1.0109999999999999</v>
      </c>
      <c r="U19" s="2025">
        <f>ROUND(IF(项目基本情况!$B$8="出让",SUMPRODUCT(PRODUCT(1+N19:$N$24)),SUMPRODUCT(PRODUCT(1+N19:$N$23))),4)</f>
        <v>1.0468999999999999</v>
      </c>
      <c r="V19" s="2025">
        <f>ROUND(IF(项目基本情况!$B$8="出让",SUMPRODUCT(PRODUCT(1+O19:$O$24)),SUMPRODUCT(PRODUCT(1+O19:$O$23))),4)</f>
        <v>1.0382</v>
      </c>
      <c r="W19" s="2025">
        <f t="shared" si="107"/>
        <v>1.0109999999999999</v>
      </c>
      <c r="X19" s="2905"/>
      <c r="Y19" s="2026">
        <f>IF(D19=0,0,ROUND(AVERAGE(D19:D24)/100,4))</f>
        <v>8.6999999999999994E-3</v>
      </c>
      <c r="Z19" s="2026">
        <f t="shared" ref="Z19:AC19" si="111">IF(E19=0,0,ROUND(AVERAGE(E19:E24)/100,4))</f>
        <v>3.5000000000000001E-3</v>
      </c>
      <c r="AA19" s="2026">
        <f t="shared" si="111"/>
        <v>1.4E-3</v>
      </c>
      <c r="AB19" s="2026">
        <f t="shared" si="111"/>
        <v>9.4999999999999998E-3</v>
      </c>
      <c r="AC19" s="2026">
        <f t="shared" si="111"/>
        <v>6.8999999999999999E-3</v>
      </c>
      <c r="AD19" s="2026">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3" customFormat="1" ht="12.75">
      <c r="A20" s="2904" t="s">
        <v>2820</v>
      </c>
      <c r="B20" s="2029">
        <v>2022</v>
      </c>
      <c r="C20" s="2040">
        <v>1</v>
      </c>
      <c r="D20" s="2005">
        <v>0.89</v>
      </c>
      <c r="E20" s="2005">
        <v>0.44</v>
      </c>
      <c r="F20" s="2005">
        <v>0.37</v>
      </c>
      <c r="G20" s="2005">
        <v>0.96</v>
      </c>
      <c r="H20" s="2916">
        <v>0.64</v>
      </c>
      <c r="I20" s="2006">
        <f t="shared" si="87"/>
        <v>0.37</v>
      </c>
      <c r="J20" s="2905"/>
      <c r="K20" s="2041">
        <f t="shared" si="88"/>
        <v>8.8999999999999999E-3</v>
      </c>
      <c r="L20" s="2026">
        <f t="shared" si="88"/>
        <v>4.4000000000000003E-3</v>
      </c>
      <c r="M20" s="2026">
        <f t="shared" si="88"/>
        <v>3.7000000000000002E-3</v>
      </c>
      <c r="N20" s="2026">
        <f t="shared" si="88"/>
        <v>9.5999999999999992E-3</v>
      </c>
      <c r="O20" s="2026">
        <f t="shared" si="88"/>
        <v>6.4000000000000003E-3</v>
      </c>
      <c r="P20" s="2026">
        <f t="shared" si="108"/>
        <v>3.7000000000000002E-3</v>
      </c>
      <c r="Q20" s="2905"/>
      <c r="R20" s="2025">
        <f>ROUND(IF(项目基本情况!$B$8="出让",SUMPRODUCT(PRODUCT(1+K20:$K$24)),SUMPRODUCT(PRODUCT(1+K20:$K$23))),4)</f>
        <v>1.0335000000000001</v>
      </c>
      <c r="S20" s="2025">
        <f>ROUND(IF(项目基本情况!$B$8="出让",SUMPRODUCT(PRODUCT(1+L20:$L$24)),SUMPRODUCT(PRODUCT(1+L20:$L$23))),4)</f>
        <v>1.0182</v>
      </c>
      <c r="T20" s="2025">
        <f>ROUND(IF(项目基本情况!$B$8="出让",SUMPRODUCT(PRODUCT(1+M20:$M$24)),SUMPRODUCT(PRODUCT(1+M20:$M$23))),4)</f>
        <v>1.0108999999999999</v>
      </c>
      <c r="U20" s="2025">
        <f>ROUND(IF(项目基本情况!$B$8="出让",SUMPRODUCT(PRODUCT(1+N20:$N$24)),SUMPRODUCT(PRODUCT(1+N20:$N$23))),4)</f>
        <v>1.0361</v>
      </c>
      <c r="V20" s="2025">
        <f>ROUND(IF(项目基本情况!$B$8="出让",SUMPRODUCT(PRODUCT(1+O20:$O$24)),SUMPRODUCT(PRODUCT(1+O20:$O$23))),4)</f>
        <v>1.0270999999999999</v>
      </c>
      <c r="W20" s="2025">
        <f t="shared" si="107"/>
        <v>1.0108999999999999</v>
      </c>
      <c r="X20" s="2905"/>
      <c r="Y20" s="2026">
        <f>IF(D20=0,0,ROUND(AVERAGE(D20:D24)/100,4))</f>
        <v>8.6E-3</v>
      </c>
      <c r="Z20" s="2026">
        <f t="shared" ref="Z20:AC20" si="112">IF(E20=0,0,ROUND(AVERAGE(E20:E24)/100,4))</f>
        <v>3.8999999999999998E-3</v>
      </c>
      <c r="AA20" s="2026">
        <f t="shared" si="112"/>
        <v>1.6999999999999999E-3</v>
      </c>
      <c r="AB20" s="2026">
        <f t="shared" si="112"/>
        <v>9.2999999999999992E-3</v>
      </c>
      <c r="AC20" s="2026">
        <f t="shared" si="112"/>
        <v>6.1000000000000004E-3</v>
      </c>
      <c r="AD20" s="2026">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3" customFormat="1" ht="12.75">
      <c r="A21" s="2904" t="s">
        <v>2821</v>
      </c>
      <c r="B21" s="2029">
        <v>2021</v>
      </c>
      <c r="C21" s="2040">
        <v>4</v>
      </c>
      <c r="D21" s="2005">
        <v>1.03</v>
      </c>
      <c r="E21" s="2005">
        <v>0.24</v>
      </c>
      <c r="F21" s="2005">
        <v>7.0000000000000007E-2</v>
      </c>
      <c r="G21" s="2005">
        <v>1.17</v>
      </c>
      <c r="H21" s="2916">
        <v>0.55000000000000004</v>
      </c>
      <c r="I21" s="2006">
        <f t="shared" si="87"/>
        <v>7.0000000000000007E-2</v>
      </c>
      <c r="J21" s="2905"/>
      <c r="K21" s="2041">
        <f t="shared" si="88"/>
        <v>1.03E-2</v>
      </c>
      <c r="L21" s="2026">
        <f t="shared" si="88"/>
        <v>2.3999999999999998E-3</v>
      </c>
      <c r="M21" s="2026">
        <f t="shared" si="88"/>
        <v>7.000000000000001E-4</v>
      </c>
      <c r="N21" s="2026">
        <f t="shared" si="88"/>
        <v>1.1699999999999999E-2</v>
      </c>
      <c r="O21" s="2026">
        <f t="shared" si="88"/>
        <v>5.5000000000000005E-3</v>
      </c>
      <c r="P21" s="2026">
        <f t="shared" si="108"/>
        <v>7.000000000000001E-4</v>
      </c>
      <c r="Q21" s="2905"/>
      <c r="R21" s="2025">
        <f>ROUND(IF(项目基本情况!$B$8="出让",SUMPRODUCT(PRODUCT(1+K21:$K$24)),SUMPRODUCT(PRODUCT(1+K21:$K$23))),4)</f>
        <v>1.0244</v>
      </c>
      <c r="S21" s="2025">
        <f>ROUND(IF(项目基本情况!$B$8="出让",SUMPRODUCT(PRODUCT(1+L21:$L$24)),SUMPRODUCT(PRODUCT(1+L21:$L$23))),4)</f>
        <v>1.0138</v>
      </c>
      <c r="T21" s="2025">
        <f>ROUND(IF(项目基本情况!$B$8="出让",SUMPRODUCT(PRODUCT(1+M21:$M$24)),SUMPRODUCT(PRODUCT(1+M21:$M$23))),4)</f>
        <v>1.0072000000000001</v>
      </c>
      <c r="U21" s="2025">
        <f>ROUND(IF(项目基本情况!$B$8="出让",SUMPRODUCT(PRODUCT(1+N21:$N$24)),SUMPRODUCT(PRODUCT(1+N21:$N$23))),4)</f>
        <v>1.0262</v>
      </c>
      <c r="V21" s="2025">
        <f>ROUND(IF(项目基本情况!$B$8="出让",SUMPRODUCT(PRODUCT(1+O21:$O$24)),SUMPRODUCT(PRODUCT(1+O21:$O$23))),4)</f>
        <v>1.0205</v>
      </c>
      <c r="W21" s="2025">
        <f t="shared" si="107"/>
        <v>1.0072000000000001</v>
      </c>
      <c r="X21" s="2905"/>
      <c r="Y21" s="2026">
        <f>IF(D21=0,0,ROUND(AVERAGE(D21:D24)/100,4))</f>
        <v>8.5000000000000006E-3</v>
      </c>
      <c r="Z21" s="2026">
        <f t="shared" ref="Z21:AC21" si="113">IF(E21=0,0,ROUND(AVERAGE(E21:E24)/100,4))</f>
        <v>3.8E-3</v>
      </c>
      <c r="AA21" s="2026">
        <f t="shared" si="113"/>
        <v>1.1999999999999999E-3</v>
      </c>
      <c r="AB21" s="2026">
        <f t="shared" si="113"/>
        <v>9.2999999999999992E-3</v>
      </c>
      <c r="AC21" s="2026">
        <f t="shared" si="113"/>
        <v>6.0000000000000001E-3</v>
      </c>
      <c r="AD21" s="2026">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3" customFormat="1" ht="12.75">
      <c r="A22" s="2904" t="s">
        <v>2822</v>
      </c>
      <c r="B22" s="2029">
        <v>2021</v>
      </c>
      <c r="C22" s="2040">
        <v>3</v>
      </c>
      <c r="D22" s="2005">
        <v>0.47</v>
      </c>
      <c r="E22" s="2005">
        <v>0.41</v>
      </c>
      <c r="F22" s="2005">
        <v>0.24</v>
      </c>
      <c r="G22" s="2005">
        <v>0.48</v>
      </c>
      <c r="H22" s="2916">
        <v>0.48</v>
      </c>
      <c r="I22" s="2006">
        <f t="shared" si="87"/>
        <v>0.24</v>
      </c>
      <c r="J22" s="2905"/>
      <c r="K22" s="2041">
        <f t="shared" si="88"/>
        <v>4.6999999999999993E-3</v>
      </c>
      <c r="L22" s="2026">
        <f t="shared" si="88"/>
        <v>4.0999999999999995E-3</v>
      </c>
      <c r="M22" s="2026">
        <f t="shared" si="88"/>
        <v>2.3999999999999998E-3</v>
      </c>
      <c r="N22" s="2026">
        <f t="shared" si="88"/>
        <v>4.7999999999999996E-3</v>
      </c>
      <c r="O22" s="2026">
        <f t="shared" si="88"/>
        <v>4.7999999999999996E-3</v>
      </c>
      <c r="P22" s="2026">
        <f t="shared" si="108"/>
        <v>2.3999999999999998E-3</v>
      </c>
      <c r="Q22" s="2905"/>
      <c r="R22" s="2025">
        <f>ROUND(IF(项目基本情况!$B$8="出让",SUMPRODUCT(PRODUCT(1+K22:$K$24)),SUMPRODUCT(PRODUCT(1+K22:$K$23))),4)</f>
        <v>1.0139</v>
      </c>
      <c r="S22" s="2025">
        <f>ROUND(IF(项目基本情况!$B$8="出让",SUMPRODUCT(PRODUCT(1+L22:$L$24)),SUMPRODUCT(PRODUCT(1+L22:$L$23))),4)</f>
        <v>1.0113000000000001</v>
      </c>
      <c r="T22" s="2025">
        <f>ROUND(IF(项目基本情况!$B$8="出让",SUMPRODUCT(PRODUCT(1+M22:$M$24)),SUMPRODUCT(PRODUCT(1+M22:$M$23))),4)</f>
        <v>1.0065</v>
      </c>
      <c r="U22" s="2025">
        <f>ROUND(IF(项目基本情况!$B$8="出让",SUMPRODUCT(PRODUCT(1+N22:$N$24)),SUMPRODUCT(PRODUCT(1+N22:$N$23))),4)</f>
        <v>1.0143</v>
      </c>
      <c r="V22" s="2025">
        <f>ROUND(IF(项目基本情况!$B$8="出让",SUMPRODUCT(PRODUCT(1+O22:$O$24)),SUMPRODUCT(PRODUCT(1+O22:$O$23))),4)</f>
        <v>1.0148999999999999</v>
      </c>
      <c r="W22" s="2025">
        <f t="shared" si="107"/>
        <v>1.0065</v>
      </c>
      <c r="X22" s="2905"/>
      <c r="Y22" s="2026">
        <f>IF(D22=0,0,ROUND(AVERAGE(D22:D24)/100,4))</f>
        <v>7.9000000000000008E-3</v>
      </c>
      <c r="Z22" s="2026">
        <f>IF(E22=0,0,ROUND(AVERAGE(E22:E24)/100,4))</f>
        <v>4.3E-3</v>
      </c>
      <c r="AA22" s="2026">
        <f>IF(F22=0,0,ROUND(AVERAGE(F22:F24)/100,4))</f>
        <v>1.2999999999999999E-3</v>
      </c>
      <c r="AB22" s="2026">
        <f>IF(G22=0,0,ROUND(AVERAGE(G22:G24)/100,4))</f>
        <v>8.5000000000000006E-3</v>
      </c>
      <c r="AC22" s="2026">
        <f>IF(H22=0,0,ROUND(AVERAGE(H22:H24)/100,4))</f>
        <v>6.1999999999999998E-3</v>
      </c>
      <c r="AD22" s="2026">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3" customFormat="1" ht="12.75">
      <c r="A23" s="2904" t="s">
        <v>2823</v>
      </c>
      <c r="B23" s="2029">
        <v>2021</v>
      </c>
      <c r="C23" s="2040">
        <v>2</v>
      </c>
      <c r="D23" s="2005">
        <v>0.92</v>
      </c>
      <c r="E23" s="2005">
        <v>0.72</v>
      </c>
      <c r="F23" s="2005">
        <v>0.41</v>
      </c>
      <c r="G23" s="2005">
        <v>0.95</v>
      </c>
      <c r="H23" s="2916">
        <v>1.01</v>
      </c>
      <c r="I23" s="2006">
        <f t="shared" si="87"/>
        <v>0.41</v>
      </c>
      <c r="J23" s="2905"/>
      <c r="K23" s="2041">
        <f t="shared" si="88"/>
        <v>9.1999999999999998E-3</v>
      </c>
      <c r="L23" s="2026">
        <f t="shared" si="88"/>
        <v>7.1999999999999998E-3</v>
      </c>
      <c r="M23" s="2026">
        <f t="shared" si="88"/>
        <v>4.0999999999999995E-3</v>
      </c>
      <c r="N23" s="2026">
        <f t="shared" si="88"/>
        <v>9.4999999999999998E-3</v>
      </c>
      <c r="O23" s="2026">
        <f t="shared" si="88"/>
        <v>1.01E-2</v>
      </c>
      <c r="P23" s="2026">
        <f t="shared" si="108"/>
        <v>4.0999999999999995E-3</v>
      </c>
      <c r="Q23" s="2905"/>
      <c r="R23" s="2025">
        <f>ROUND(IF(项目基本情况!$B$8="出让",SUMPRODUCT(PRODUCT(1+K23:$K$24)),SUMPRODUCT(PRODUCT(1+K23:$K$23))),4)</f>
        <v>1.0092000000000001</v>
      </c>
      <c r="S23" s="2025">
        <f>ROUND(IF(项目基本情况!$B$8="出让",SUMPRODUCT(PRODUCT(1+L23:$L$24)),SUMPRODUCT(PRODUCT(1+L23:$L$23))),4)</f>
        <v>1.0072000000000001</v>
      </c>
      <c r="T23" s="2025">
        <f>ROUND(IF(项目基本情况!$B$8="出让",SUMPRODUCT(PRODUCT(1+M23:$M$24)),SUMPRODUCT(PRODUCT(1+M23:$M$23))),4)</f>
        <v>1.0041</v>
      </c>
      <c r="U23" s="2025">
        <f>ROUND(IF(项目基本情况!$B$8="出让",SUMPRODUCT(PRODUCT(1+N23:$N$24)),SUMPRODUCT(PRODUCT(1+N23:$N$23))),4)</f>
        <v>1.0095000000000001</v>
      </c>
      <c r="V23" s="2025">
        <f>ROUND(IF(项目基本情况!$B$8="出让",SUMPRODUCT(PRODUCT(1+O23:$O$24)),SUMPRODUCT(PRODUCT(1+O23:$O$23))),4)</f>
        <v>1.0101</v>
      </c>
      <c r="W23" s="2025">
        <f t="shared" si="107"/>
        <v>1.0041</v>
      </c>
      <c r="X23" s="2905"/>
      <c r="Y23" s="2026">
        <f>IF(D23=0,0,ROUND(AVERAGE(D23:D24)/100,4))</f>
        <v>9.4999999999999998E-3</v>
      </c>
      <c r="Z23" s="2026">
        <f>IF(E23=0,0,ROUND(AVERAGE(E23:E24)/100,4))</f>
        <v>4.4000000000000003E-3</v>
      </c>
      <c r="AA23" s="2026">
        <f>IF(F23=0,0,ROUND(AVERAGE(F23:F24)/100,4))</f>
        <v>8.0000000000000004E-4</v>
      </c>
      <c r="AB23" s="2026">
        <f>IF(G23=0,0,ROUND(AVERAGE(G23:G24)/100,4))</f>
        <v>1.03E-2</v>
      </c>
      <c r="AC23" s="2026">
        <f>IF(H23=0,0,ROUND(AVERAGE(H23:H24)/100,4))</f>
        <v>6.8999999999999999E-3</v>
      </c>
      <c r="AD23" s="2026">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2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25" thickTop="1"/>
    <row r="26" spans="1:44">
      <c r="A26" s="3142" t="s">
        <v>3379</v>
      </c>
    </row>
    <row r="27" spans="1:44">
      <c r="I27" s="1405" t="s">
        <v>2825</v>
      </c>
    </row>
    <row r="29" spans="1:44" s="2007" customFormat="1" ht="12.75">
      <c r="B29" s="2928" t="s">
        <v>3377</v>
      </c>
      <c r="C29" s="2929"/>
      <c r="D29" s="2929"/>
      <c r="E29" s="2929"/>
      <c r="F29" s="2929"/>
      <c r="G29" s="2929"/>
      <c r="H29" s="2929"/>
      <c r="I29" s="2929"/>
      <c r="J29" s="2895"/>
      <c r="K29" s="2929" t="s">
        <v>2826</v>
      </c>
      <c r="L29" s="2929"/>
      <c r="M29" s="2929"/>
      <c r="N29" s="2929"/>
      <c r="O29" s="2929"/>
      <c r="P29" s="2929"/>
      <c r="Q29" s="2895"/>
      <c r="R29" s="3505" t="s">
        <v>2827</v>
      </c>
      <c r="S29" s="3506"/>
      <c r="T29" s="3506"/>
      <c r="U29" s="3506"/>
      <c r="V29" s="3506"/>
      <c r="W29" s="3506"/>
      <c r="X29" s="2895"/>
      <c r="Y29" s="3505" t="s">
        <v>2828</v>
      </c>
      <c r="Z29" s="3506"/>
      <c r="AA29" s="3506"/>
      <c r="AB29" s="3506"/>
      <c r="AC29" s="3506"/>
      <c r="AD29" s="3506"/>
    </row>
    <row r="30" spans="1:44" s="2008" customFormat="1" ht="14.25" thickBot="1">
      <c r="B30" s="2880"/>
      <c r="C30" s="2881"/>
      <c r="D30" s="2009" t="s">
        <v>2829</v>
      </c>
      <c r="E30" s="2010" t="s">
        <v>2830</v>
      </c>
      <c r="F30" s="2010" t="s">
        <v>2831</v>
      </c>
      <c r="G30" s="2010" t="s">
        <v>2832</v>
      </c>
      <c r="H30" s="2010"/>
      <c r="I30" s="2010" t="s">
        <v>2833</v>
      </c>
      <c r="J30" s="2882"/>
      <c r="K30" s="2009" t="s">
        <v>2829</v>
      </c>
      <c r="L30" s="2010" t="s">
        <v>2830</v>
      </c>
      <c r="M30" s="2010" t="s">
        <v>2831</v>
      </c>
      <c r="N30" s="2010" t="s">
        <v>2832</v>
      </c>
      <c r="O30" s="2010"/>
      <c r="P30" s="2010" t="s">
        <v>2833</v>
      </c>
      <c r="Q30" s="2882"/>
      <c r="R30" s="2009" t="s">
        <v>2829</v>
      </c>
      <c r="S30" s="2010" t="s">
        <v>2830</v>
      </c>
      <c r="T30" s="2010" t="s">
        <v>2831</v>
      </c>
      <c r="U30" s="2010" t="s">
        <v>2832</v>
      </c>
      <c r="V30" s="2010"/>
      <c r="W30" s="2010" t="s">
        <v>2833</v>
      </c>
      <c r="X30" s="2882"/>
      <c r="Y30" s="2009" t="s">
        <v>2829</v>
      </c>
      <c r="Z30" s="2010" t="s">
        <v>2830</v>
      </c>
      <c r="AA30" s="2010" t="s">
        <v>2831</v>
      </c>
      <c r="AB30" s="2010" t="s">
        <v>2832</v>
      </c>
      <c r="AC30" s="2010"/>
      <c r="AD30" s="2010" t="s">
        <v>2833</v>
      </c>
      <c r="AG30" t="s">
        <v>673</v>
      </c>
      <c r="AH30" t="s">
        <v>21</v>
      </c>
      <c r="AI30" t="s">
        <v>3402</v>
      </c>
      <c r="AJ30"/>
      <c r="AK30" t="s">
        <v>3403</v>
      </c>
      <c r="AN30" t="s">
        <v>673</v>
      </c>
      <c r="AO30" t="s">
        <v>21</v>
      </c>
      <c r="AP30" t="s">
        <v>3402</v>
      </c>
      <c r="AQ30"/>
      <c r="AR30" t="s">
        <v>3403</v>
      </c>
    </row>
    <row r="31" spans="1:44" s="2885" customFormat="1" ht="12.75">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7" customFormat="1" ht="12.75">
      <c r="B32" s="2023"/>
      <c r="J32" s="2895"/>
      <c r="K32" s="2896"/>
      <c r="L32" s="2897"/>
      <c r="M32" s="2897"/>
      <c r="N32" s="2897"/>
      <c r="O32" s="2897"/>
      <c r="P32" s="2897"/>
      <c r="Q32" s="2895"/>
      <c r="R32" s="2025"/>
      <c r="S32" s="2898"/>
      <c r="T32" s="2899"/>
      <c r="U32" s="2025"/>
      <c r="V32" s="2900"/>
      <c r="W32" s="2025"/>
      <c r="X32" s="2895"/>
      <c r="Y32" s="2026"/>
      <c r="Z32" s="2901"/>
      <c r="AA32" s="2902"/>
      <c r="AB32" s="2026"/>
      <c r="AC32" s="2903"/>
      <c r="AD32" s="2026"/>
    </row>
    <row r="33" spans="1:44" s="2043" customFormat="1">
      <c r="A33" s="2038" t="s">
        <v>3400</v>
      </c>
      <c r="B33" s="2029">
        <v>2025</v>
      </c>
      <c r="C33" s="2040">
        <v>4</v>
      </c>
      <c r="D33" s="2005"/>
      <c r="E33" s="2005">
        <v>0</v>
      </c>
      <c r="F33" s="2005">
        <v>0</v>
      </c>
      <c r="G33" s="2005">
        <v>0</v>
      </c>
      <c r="H33" s="2005"/>
      <c r="I33" s="2006">
        <f t="shared" ref="I33" si="119">F33</f>
        <v>0</v>
      </c>
      <c r="J33" s="2905"/>
      <c r="K33" s="2041"/>
      <c r="L33" s="2026">
        <f t="shared" ref="L33" si="120">E33/100</f>
        <v>0</v>
      </c>
      <c r="M33" s="2026">
        <f t="shared" ref="M33" si="121">F33/100</f>
        <v>0</v>
      </c>
      <c r="N33" s="2026">
        <f t="shared" ref="N33" si="122">G33/100</f>
        <v>0</v>
      </c>
      <c r="O33" s="2026"/>
      <c r="P33" s="2026">
        <f t="shared" ref="P33:P39" si="123">M33</f>
        <v>0</v>
      </c>
      <c r="Q33" s="2905"/>
      <c r="R33" s="2025"/>
      <c r="S33" s="2025">
        <f>ROUND(IF(项目基本情况!$B$8="出让",SUMPRODUCT(PRODUCT(1+L33:L$52)),SUMPRODUCT(PRODUCT(1+L33:L$51))),4)</f>
        <v>1.0037</v>
      </c>
      <c r="T33" s="2025">
        <f>ROUND(IF(项目基本情况!$B$8="出让",SUMPRODUCT(PRODUCT(1+M33:M$52)),SUMPRODUCT(PRODUCT(1+M33:M$51))),4)</f>
        <v>0.98229999999999995</v>
      </c>
      <c r="U33" s="2025">
        <f>ROUND(IF(项目基本情况!$B$8="出让",SUMPRODUCT(PRODUCT(1+N33:N$52)),SUMPRODUCT(PRODUCT(1+N33:N$51))),4)</f>
        <v>1.0274000000000001</v>
      </c>
      <c r="V33" s="2025"/>
      <c r="W33" s="2025">
        <f t="shared" ref="W33:W39" si="124">T33</f>
        <v>0.98229999999999995</v>
      </c>
      <c r="X33" s="2905"/>
      <c r="Y33" s="2026"/>
      <c r="Z33" s="2901">
        <f t="shared" ref="Z33" si="125">IF(E33=0,0,ROUND(AVERAGE(E33:E46)/100,4))</f>
        <v>0</v>
      </c>
      <c r="AA33" s="2901">
        <f t="shared" ref="AA33" si="126">IF(F33=0,0,ROUND(AVERAGE(F33:F46)/100,4))</f>
        <v>0</v>
      </c>
      <c r="AB33" s="2901">
        <f t="shared" ref="AB33" si="127">IF(G33=0,0,ROUND(AVERAGE(G33:G46)/100,4))</f>
        <v>0</v>
      </c>
      <c r="AC33" s="2903"/>
      <c r="AD33" s="2026">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2.75">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3" customFormat="1" ht="12.75">
      <c r="A35" s="2038" t="s">
        <v>3415</v>
      </c>
      <c r="B35" s="2029">
        <v>2025</v>
      </c>
      <c r="C35" s="2040">
        <v>2</v>
      </c>
      <c r="D35" s="2005"/>
      <c r="E35" s="2005">
        <v>-0.31</v>
      </c>
      <c r="F35" s="2005">
        <v>-1.03</v>
      </c>
      <c r="G35" s="2005">
        <v>0.03</v>
      </c>
      <c r="H35" s="2005"/>
      <c r="I35" s="2006">
        <f t="shared" ref="I35" si="141">F35</f>
        <v>-1.03</v>
      </c>
      <c r="J35" s="2905"/>
      <c r="K35" s="2041"/>
      <c r="L35" s="2026">
        <f t="shared" ref="L35" si="142">E35/100</f>
        <v>-3.0999999999999999E-3</v>
      </c>
      <c r="M35" s="2026">
        <f t="shared" ref="M35" si="143">F35/100</f>
        <v>-1.03E-2</v>
      </c>
      <c r="N35" s="2026">
        <f t="shared" ref="N35" si="144">G35/100</f>
        <v>2.9999999999999997E-4</v>
      </c>
      <c r="O35" s="2026"/>
      <c r="P35" s="2026">
        <f t="shared" si="123"/>
        <v>-1.03E-2</v>
      </c>
      <c r="Q35" s="2905"/>
      <c r="R35" s="2025"/>
      <c r="S35" s="2025">
        <f>ROUND(IF(项目基本情况!$B$8="出让",SUMPRODUCT(PRODUCT(1+L35:L$52)),SUMPRODUCT(PRODUCT(1+L35:L$51))),4)</f>
        <v>1.0118</v>
      </c>
      <c r="T35" s="2025">
        <f>ROUND(IF(项目基本情况!$B$8="出让",SUMPRODUCT(PRODUCT(1+M35:M$52)),SUMPRODUCT(PRODUCT(1+M35:M$51))),4)</f>
        <v>0.99680000000000002</v>
      </c>
      <c r="U35" s="2025">
        <f>ROUND(IF(项目基本情况!$B$8="出让",SUMPRODUCT(PRODUCT(1+N35:N$52)),SUMPRODUCT(PRODUCT(1+N35:N$51))),4)</f>
        <v>1.0338000000000001</v>
      </c>
      <c r="V35" s="2025"/>
      <c r="W35" s="2025">
        <f t="shared" si="124"/>
        <v>0.99680000000000002</v>
      </c>
      <c r="X35" s="2905"/>
      <c r="Y35" s="2026"/>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6">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3" customFormat="1" ht="12.75">
      <c r="A36" s="2038" t="s">
        <v>3404</v>
      </c>
      <c r="B36" s="2029">
        <v>2025</v>
      </c>
      <c r="C36" s="2040">
        <v>1</v>
      </c>
      <c r="D36" s="2005"/>
      <c r="E36" s="2005">
        <v>-1.47</v>
      </c>
      <c r="F36" s="2005">
        <v>-0.98</v>
      </c>
      <c r="G36" s="2005">
        <v>-0.51</v>
      </c>
      <c r="H36" s="2005"/>
      <c r="I36" s="2006">
        <f t="shared" ref="I36" si="152">F36</f>
        <v>-0.98</v>
      </c>
      <c r="J36" s="2905"/>
      <c r="K36" s="2041"/>
      <c r="L36" s="2026">
        <f t="shared" ref="L36" si="153">E36/100</f>
        <v>-1.47E-2</v>
      </c>
      <c r="M36" s="2026">
        <f t="shared" ref="M36" si="154">F36/100</f>
        <v>-9.7999999999999997E-3</v>
      </c>
      <c r="N36" s="2026">
        <f t="shared" ref="N36" si="155">G36/100</f>
        <v>-5.1000000000000004E-3</v>
      </c>
      <c r="O36" s="2026"/>
      <c r="P36" s="2026">
        <f t="shared" si="123"/>
        <v>-9.7999999999999997E-3</v>
      </c>
      <c r="Q36" s="2905"/>
      <c r="R36" s="2025"/>
      <c r="S36" s="2025">
        <f>ROUND(IF(项目基本情况!$B$8="出让",SUMPRODUCT(PRODUCT(1+L36:L$52)),SUMPRODUCT(PRODUCT(1+L36:L$51))),4)</f>
        <v>1.0148999999999999</v>
      </c>
      <c r="T36" s="2025">
        <f>ROUND(IF(项目基本情况!$B$8="出让",SUMPRODUCT(PRODUCT(1+M36:M$52)),SUMPRODUCT(PRODUCT(1+M36:M$51))),4)</f>
        <v>1.0072000000000001</v>
      </c>
      <c r="U36" s="2025">
        <f>ROUND(IF(项目基本情况!$B$8="出让",SUMPRODUCT(PRODUCT(1+N36:N$52)),SUMPRODUCT(PRODUCT(1+N36:N$51))),4)</f>
        <v>1.0335000000000001</v>
      </c>
      <c r="V36" s="2025"/>
      <c r="W36" s="2025">
        <f t="shared" si="124"/>
        <v>1.0072000000000001</v>
      </c>
      <c r="X36" s="2905"/>
      <c r="Y36" s="2026"/>
      <c r="Z36" s="2901">
        <f t="shared" ref="Z36" si="156">IF(E36=0,0,ROUND(AVERAGE(E36:E49)/100,4))</f>
        <v>4.0000000000000002E-4</v>
      </c>
      <c r="AA36" s="2901">
        <f t="shared" ref="AA36" si="157">IF(F36=0,0,ROUND(AVERAGE(F36:F49)/100,4))</f>
        <v>0</v>
      </c>
      <c r="AB36" s="2901">
        <f t="shared" ref="AB36" si="158">IF(G36=0,0,ROUND(AVERAGE(G36:G49)/100,4))</f>
        <v>1E-3</v>
      </c>
      <c r="AC36" s="2903"/>
      <c r="AD36" s="2026">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3" customFormat="1" ht="12.75">
      <c r="A37" s="2038" t="s">
        <v>3405</v>
      </c>
      <c r="B37" s="2029">
        <v>2024</v>
      </c>
      <c r="C37" s="2040">
        <v>4</v>
      </c>
      <c r="D37" s="2005"/>
      <c r="E37" s="2005">
        <v>-0.61</v>
      </c>
      <c r="F37" s="2005">
        <v>-0.71</v>
      </c>
      <c r="G37" s="2005">
        <v>-0.88</v>
      </c>
      <c r="H37" s="2005"/>
      <c r="I37" s="2006">
        <f t="shared" ref="I37" si="162">F37</f>
        <v>-0.71</v>
      </c>
      <c r="J37" s="2905"/>
      <c r="K37" s="2041"/>
      <c r="L37" s="2026">
        <f t="shared" ref="L37" si="163">E37/100</f>
        <v>-6.0999999999999995E-3</v>
      </c>
      <c r="M37" s="2026">
        <f t="shared" ref="M37" si="164">F37/100</f>
        <v>-7.0999999999999995E-3</v>
      </c>
      <c r="N37" s="2026">
        <f t="shared" ref="N37" si="165">G37/100</f>
        <v>-8.8000000000000005E-3</v>
      </c>
      <c r="O37" s="2026"/>
      <c r="P37" s="2026">
        <f t="shared" si="123"/>
        <v>-7.0999999999999995E-3</v>
      </c>
      <c r="Q37" s="2905"/>
      <c r="R37" s="2025"/>
      <c r="S37" s="2025">
        <f>ROUND(IF(项目基本情况!$B$8="出让",SUMPRODUCT(PRODUCT(1+L37:L$52)),SUMPRODUCT(PRODUCT(1+L37:L$51))),4)</f>
        <v>1.0301</v>
      </c>
      <c r="T37" s="2025">
        <f>ROUND(IF(项目基本情况!$B$8="出让",SUMPRODUCT(PRODUCT(1+M37:M$52)),SUMPRODUCT(PRODUCT(1+M37:M$51))),4)</f>
        <v>1.0170999999999999</v>
      </c>
      <c r="U37" s="2025">
        <f>ROUND(IF(项目基本情况!$B$8="出让",SUMPRODUCT(PRODUCT(1+N37:N$52)),SUMPRODUCT(PRODUCT(1+N37:N$51))),4)</f>
        <v>1.0387999999999999</v>
      </c>
      <c r="V37" s="2025"/>
      <c r="W37" s="2025">
        <f t="shared" si="124"/>
        <v>1.0170999999999999</v>
      </c>
      <c r="X37" s="2905"/>
      <c r="Y37" s="2026"/>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6">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3" customFormat="1" ht="12.75">
      <c r="A38" s="2038" t="s">
        <v>3371</v>
      </c>
      <c r="B38" s="2029">
        <v>2024</v>
      </c>
      <c r="C38" s="2040">
        <v>3</v>
      </c>
      <c r="D38" s="2005"/>
      <c r="E38" s="2005">
        <v>-0.66</v>
      </c>
      <c r="F38" s="2005">
        <v>-0.52</v>
      </c>
      <c r="G38" s="2005">
        <v>-2.87</v>
      </c>
      <c r="H38" s="2005"/>
      <c r="I38" s="2006">
        <f t="shared" ref="I38" si="169">F38</f>
        <v>-0.52</v>
      </c>
      <c r="J38" s="2905"/>
      <c r="K38" s="2041"/>
      <c r="L38" s="2026">
        <f t="shared" ref="L38" si="170">E38/100</f>
        <v>-6.6E-3</v>
      </c>
      <c r="M38" s="2026">
        <f t="shared" ref="M38" si="171">F38/100</f>
        <v>-5.1999999999999998E-3</v>
      </c>
      <c r="N38" s="2026">
        <f t="shared" ref="N38" si="172">G38/100</f>
        <v>-2.87E-2</v>
      </c>
      <c r="O38" s="2026"/>
      <c r="P38" s="2026">
        <f t="shared" si="123"/>
        <v>-5.1999999999999998E-3</v>
      </c>
      <c r="Q38" s="2905"/>
      <c r="R38" s="2025"/>
      <c r="S38" s="2025">
        <f>ROUND(IF(项目基本情况!$B$8="出让",SUMPRODUCT(PRODUCT(1+L38:L$52)),SUMPRODUCT(PRODUCT(1+L38:L$51))),4)</f>
        <v>1.0364</v>
      </c>
      <c r="T38" s="2025">
        <f>ROUND(IF(项目基本情况!$B$8="出让",SUMPRODUCT(PRODUCT(1+M38:M$52)),SUMPRODUCT(PRODUCT(1+M38:M$51))),4)</f>
        <v>1.0244</v>
      </c>
      <c r="U38" s="2025">
        <f>ROUND(IF(项目基本情况!$B$8="出让",SUMPRODUCT(PRODUCT(1+N38:N$52)),SUMPRODUCT(PRODUCT(1+N38:N$51))),4)</f>
        <v>1.048</v>
      </c>
      <c r="V38" s="2025"/>
      <c r="W38" s="2025">
        <f t="shared" si="124"/>
        <v>1.0244</v>
      </c>
      <c r="X38" s="2905"/>
      <c r="Y38" s="2026"/>
      <c r="Z38" s="2901">
        <f t="shared" ref="Z38:AB39" si="173">IF(E38=0,0,ROUND(AVERAGE(E38:E51)/100,4))</f>
        <v>2.5999999999999999E-3</v>
      </c>
      <c r="AA38" s="2901">
        <f t="shared" si="173"/>
        <v>1.6999999999999999E-3</v>
      </c>
      <c r="AB38" s="2901">
        <f t="shared" si="173"/>
        <v>3.3999999999999998E-3</v>
      </c>
      <c r="AC38" s="2903"/>
      <c r="AD38" s="2026">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3" customFormat="1" ht="12.75">
      <c r="A39" s="2904" t="s">
        <v>3375</v>
      </c>
      <c r="B39" s="2029">
        <v>2024</v>
      </c>
      <c r="C39" s="2040">
        <v>2</v>
      </c>
      <c r="D39" s="2005"/>
      <c r="E39" s="2005">
        <v>-0.31</v>
      </c>
      <c r="F39" s="2005">
        <v>-0.39</v>
      </c>
      <c r="G39" s="2005">
        <v>1.23</v>
      </c>
      <c r="H39" s="2916"/>
      <c r="I39" s="2006">
        <f t="shared" ref="I39:I52" si="174">F39</f>
        <v>-0.39</v>
      </c>
      <c r="J39" s="2905"/>
      <c r="K39" s="2041"/>
      <c r="L39" s="2026">
        <f t="shared" ref="L39:N52" si="175">E39/100</f>
        <v>-3.0999999999999999E-3</v>
      </c>
      <c r="M39" s="2026">
        <f t="shared" si="175"/>
        <v>-3.9000000000000003E-3</v>
      </c>
      <c r="N39" s="2026">
        <f t="shared" si="175"/>
        <v>1.23E-2</v>
      </c>
      <c r="O39" s="2026"/>
      <c r="P39" s="2026">
        <f t="shared" si="123"/>
        <v>-3.9000000000000003E-3</v>
      </c>
      <c r="Q39" s="2905"/>
      <c r="R39" s="2025"/>
      <c r="S39" s="2025">
        <f>ROUND(IF(项目基本情况!$B$8="出让",SUMPRODUCT(PRODUCT(1+L39:L$52)),SUMPRODUCT(PRODUCT(1+L39:L$51))),4)</f>
        <v>1.0432999999999999</v>
      </c>
      <c r="T39" s="2025">
        <f>ROUND(IF(项目基本情况!$B$8="出让",SUMPRODUCT(PRODUCT(1+M39:M$52)),SUMPRODUCT(PRODUCT(1+M39:M$51))),4)</f>
        <v>1.0298</v>
      </c>
      <c r="U39" s="2025">
        <f>ROUND(IF(项目基本情况!$B$8="出让",SUMPRODUCT(PRODUCT(1+N39:N$52)),SUMPRODUCT(PRODUCT(1+N39:N$51))),4)</f>
        <v>1.079</v>
      </c>
      <c r="V39" s="2025"/>
      <c r="W39" s="2025">
        <f t="shared" si="124"/>
        <v>1.0298</v>
      </c>
      <c r="X39" s="2905"/>
      <c r="Y39" s="2026"/>
      <c r="Z39" s="2901">
        <f t="shared" si="173"/>
        <v>3.3E-3</v>
      </c>
      <c r="AA39" s="2902">
        <f t="shared" si="173"/>
        <v>2.3999999999999998E-3</v>
      </c>
      <c r="AB39" s="2026">
        <f t="shared" si="173"/>
        <v>6.1999999999999998E-3</v>
      </c>
      <c r="AC39" s="2903"/>
      <c r="AD39" s="2026">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3" customFormat="1" ht="12.75">
      <c r="A40" s="2904" t="s">
        <v>3372</v>
      </c>
      <c r="B40" s="2029">
        <v>2024</v>
      </c>
      <c r="C40" s="2040">
        <v>1</v>
      </c>
      <c r="D40" s="2005"/>
      <c r="E40" s="2005">
        <v>0.25</v>
      </c>
      <c r="F40" s="2005">
        <v>0.4</v>
      </c>
      <c r="G40" s="2005">
        <v>-0.63</v>
      </c>
      <c r="H40" s="2916"/>
      <c r="I40" s="2006">
        <f t="shared" ref="I40:I41" si="176">F40</f>
        <v>0.4</v>
      </c>
      <c r="J40" s="2905"/>
      <c r="K40" s="2041"/>
      <c r="L40" s="2026">
        <f t="shared" ref="L40" si="177">E40/100</f>
        <v>2.5000000000000001E-3</v>
      </c>
      <c r="M40" s="2026">
        <f t="shared" ref="M40" si="178">F40/100</f>
        <v>4.0000000000000001E-3</v>
      </c>
      <c r="N40" s="2026">
        <f t="shared" ref="N40" si="179">G40/100</f>
        <v>-6.3E-3</v>
      </c>
      <c r="O40" s="2026"/>
      <c r="P40" s="2026">
        <f t="shared" ref="P40" si="180">M40</f>
        <v>4.0000000000000001E-3</v>
      </c>
      <c r="Q40" s="2905"/>
      <c r="R40" s="2025"/>
      <c r="S40" s="2025">
        <f>ROUND(IF(项目基本情况!$B$8="出让",SUMPRODUCT(PRODUCT(1+L40:L$52)),SUMPRODUCT(PRODUCT(1+L40:L$51))),4)</f>
        <v>1.0465</v>
      </c>
      <c r="T40" s="2025">
        <f>ROUND(IF(项目基本情况!$B$8="出让",SUMPRODUCT(PRODUCT(1+M40:M$52)),SUMPRODUCT(PRODUCT(1+M40:M$51))),4)</f>
        <v>1.0338000000000001</v>
      </c>
      <c r="U40" s="2025">
        <f>ROUND(IF(项目基本情况!$B$8="出让",SUMPRODUCT(PRODUCT(1+N40:N$52)),SUMPRODUCT(PRODUCT(1+N40:N$51))),4)</f>
        <v>1.0659000000000001</v>
      </c>
      <c r="V40" s="2025"/>
      <c r="W40" s="2025">
        <f t="shared" ref="W40" si="181">T40</f>
        <v>1.0338000000000001</v>
      </c>
      <c r="X40" s="2905"/>
      <c r="Y40" s="2026"/>
      <c r="Z40" s="2901"/>
      <c r="AA40" s="2902"/>
      <c r="AB40" s="2026"/>
      <c r="AC40" s="2903"/>
      <c r="AD40" s="2026"/>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3" customFormat="1" ht="12.75">
      <c r="A41" s="2904" t="s">
        <v>3370</v>
      </c>
      <c r="B41" s="2029">
        <v>2023</v>
      </c>
      <c r="C41" s="2040">
        <v>4</v>
      </c>
      <c r="D41" s="2005"/>
      <c r="E41" s="2005">
        <v>7.0000000000000007E-2</v>
      </c>
      <c r="F41" s="2005">
        <v>0.09</v>
      </c>
      <c r="G41" s="2005">
        <v>0.03</v>
      </c>
      <c r="H41" s="2916"/>
      <c r="I41" s="2006">
        <f t="shared" si="176"/>
        <v>0.09</v>
      </c>
      <c r="J41" s="2905"/>
      <c r="K41" s="2041"/>
      <c r="L41" s="2026">
        <f t="shared" si="175"/>
        <v>7.000000000000001E-4</v>
      </c>
      <c r="M41" s="2026">
        <f t="shared" si="175"/>
        <v>8.9999999999999998E-4</v>
      </c>
      <c r="N41" s="2026">
        <f t="shared" si="175"/>
        <v>2.9999999999999997E-4</v>
      </c>
      <c r="O41" s="2026"/>
      <c r="P41" s="2026">
        <f t="shared" ref="P41" si="182">M41</f>
        <v>8.9999999999999998E-4</v>
      </c>
      <c r="Q41" s="2905"/>
      <c r="R41" s="2025"/>
      <c r="S41" s="2025">
        <f>ROUND(IF(项目基本情况!$B$8="出让",SUMPRODUCT(PRODUCT(1+L41:L$52)),SUMPRODUCT(PRODUCT(1+L41:L$51))),4)</f>
        <v>1.0439000000000001</v>
      </c>
      <c r="T41" s="2025">
        <f>ROUND(IF(项目基本情况!$B$8="出让",SUMPRODUCT(PRODUCT(1+M41:M$52)),SUMPRODUCT(PRODUCT(1+M41:M$51))),4)</f>
        <v>1.0297000000000001</v>
      </c>
      <c r="U41" s="2025">
        <f>ROUND(IF(项目基本情况!$B$8="出让",SUMPRODUCT(PRODUCT(1+N41:N$52)),SUMPRODUCT(PRODUCT(1+N41:N$51))),4)</f>
        <v>1.0727</v>
      </c>
      <c r="V41" s="2025"/>
      <c r="W41" s="2025">
        <f t="shared" ref="W41" si="183">T41</f>
        <v>1.0297000000000001</v>
      </c>
      <c r="X41" s="2905"/>
      <c r="Y41" s="2026"/>
      <c r="Z41" s="2901"/>
      <c r="AA41" s="2902"/>
      <c r="AB41" s="2026"/>
      <c r="AC41" s="2903"/>
      <c r="AD41" s="2026"/>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3" customFormat="1" ht="12.75">
      <c r="A42" s="2904" t="s">
        <v>3368</v>
      </c>
      <c r="B42" s="2029">
        <v>2023</v>
      </c>
      <c r="C42" s="2040">
        <v>3</v>
      </c>
      <c r="D42" s="2005"/>
      <c r="E42" s="2005">
        <v>0.35</v>
      </c>
      <c r="F42" s="2005">
        <v>0.17</v>
      </c>
      <c r="G42" s="2005">
        <v>0.52</v>
      </c>
      <c r="H42" s="2916"/>
      <c r="I42" s="2006">
        <f t="shared" si="174"/>
        <v>0.17</v>
      </c>
      <c r="J42" s="2905"/>
      <c r="K42" s="2041"/>
      <c r="L42" s="2026">
        <f t="shared" ref="L42:L44" si="184">E42/100</f>
        <v>3.4999999999999996E-3</v>
      </c>
      <c r="M42" s="2026">
        <f t="shared" ref="M42:M44" si="185">F42/100</f>
        <v>1.7000000000000001E-3</v>
      </c>
      <c r="N42" s="2026">
        <f t="shared" ref="N42:N44" si="186">G42/100</f>
        <v>5.1999999999999998E-3</v>
      </c>
      <c r="O42" s="2026"/>
      <c r="P42" s="2026">
        <f t="shared" ref="P42:P44" si="187">M42</f>
        <v>1.7000000000000001E-3</v>
      </c>
      <c r="Q42" s="2905"/>
      <c r="R42" s="2025"/>
      <c r="S42" s="2025">
        <f>ROUND(IF(项目基本情况!$B$8="出让",SUMPRODUCT(PRODUCT(1+L42:L$52)),SUMPRODUCT(PRODUCT(1+L42:L$51))),4)</f>
        <v>1.0431999999999999</v>
      </c>
      <c r="T42" s="2025">
        <f>ROUND(IF(项目基本情况!$B$8="出让",SUMPRODUCT(PRODUCT(1+M42:M$52)),SUMPRODUCT(PRODUCT(1+M42:M$51))),4)</f>
        <v>1.0286999999999999</v>
      </c>
      <c r="U42" s="2025">
        <f>ROUND(IF(项目基本情况!$B$8="出让",SUMPRODUCT(PRODUCT(1+N42:N$52)),SUMPRODUCT(PRODUCT(1+N42:N$51))),4)</f>
        <v>1.0723</v>
      </c>
      <c r="V42" s="2025"/>
      <c r="W42" s="2025">
        <f t="shared" ref="W42:W44" si="188">T42</f>
        <v>1.0286999999999999</v>
      </c>
      <c r="X42" s="2905"/>
      <c r="Y42" s="2026"/>
      <c r="Z42" s="2901"/>
      <c r="AA42" s="2902"/>
      <c r="AB42" s="2026"/>
      <c r="AC42" s="2903"/>
      <c r="AD42" s="2026"/>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3" customFormat="1" ht="12.75">
      <c r="A43" s="2904" t="s">
        <v>3367</v>
      </c>
      <c r="B43" s="2029">
        <v>2023</v>
      </c>
      <c r="C43" s="2040">
        <v>2</v>
      </c>
      <c r="D43" s="2005"/>
      <c r="E43" s="2005">
        <v>0.5</v>
      </c>
      <c r="F43" s="2005">
        <v>0.45</v>
      </c>
      <c r="G43" s="2005">
        <v>0.89</v>
      </c>
      <c r="H43" s="2916"/>
      <c r="I43" s="2006">
        <f t="shared" si="174"/>
        <v>0.45</v>
      </c>
      <c r="J43" s="2905"/>
      <c r="K43" s="2041"/>
      <c r="L43" s="2026">
        <f t="shared" si="184"/>
        <v>5.0000000000000001E-3</v>
      </c>
      <c r="M43" s="2026">
        <f t="shared" si="185"/>
        <v>4.5000000000000005E-3</v>
      </c>
      <c r="N43" s="2026">
        <f t="shared" si="186"/>
        <v>8.8999999999999999E-3</v>
      </c>
      <c r="O43" s="2026"/>
      <c r="P43" s="2026">
        <f t="shared" si="187"/>
        <v>4.5000000000000005E-3</v>
      </c>
      <c r="Q43" s="2905"/>
      <c r="R43" s="2025"/>
      <c r="S43" s="2025">
        <f>ROUND(IF(项目基本情况!$B$8="出让",SUMPRODUCT(PRODUCT(1+L43:L$52)),SUMPRODUCT(PRODUCT(1+L43:L$51))),4)</f>
        <v>1.0396000000000001</v>
      </c>
      <c r="T43" s="2025">
        <f>ROUND(IF(项目基本情况!$B$8="出让",SUMPRODUCT(PRODUCT(1+M43:M$52)),SUMPRODUCT(PRODUCT(1+M43:M$51))),4)</f>
        <v>1.0269999999999999</v>
      </c>
      <c r="U43" s="2025">
        <f>ROUND(IF(项目基本情况!$B$8="出让",SUMPRODUCT(PRODUCT(1+N43:N$52)),SUMPRODUCT(PRODUCT(1+N43:N$51))),4)</f>
        <v>1.0668</v>
      </c>
      <c r="V43" s="2025"/>
      <c r="W43" s="2025">
        <f t="shared" si="188"/>
        <v>1.0269999999999999</v>
      </c>
      <c r="X43" s="2905"/>
      <c r="Y43" s="2026"/>
      <c r="Z43" s="2901"/>
      <c r="AA43" s="2902"/>
      <c r="AB43" s="2026"/>
      <c r="AC43" s="2903"/>
      <c r="AD43" s="2026"/>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3" customFormat="1" ht="12.75">
      <c r="A44" s="2904" t="s">
        <v>3365</v>
      </c>
      <c r="B44" s="2029">
        <v>2023</v>
      </c>
      <c r="C44" s="2040">
        <v>1</v>
      </c>
      <c r="D44" s="2005"/>
      <c r="E44" s="2005">
        <v>0.55000000000000004</v>
      </c>
      <c r="F44" s="2005">
        <v>0.59</v>
      </c>
      <c r="G44" s="2005">
        <v>0.64</v>
      </c>
      <c r="H44" s="2916"/>
      <c r="I44" s="2006">
        <f t="shared" si="174"/>
        <v>0.59</v>
      </c>
      <c r="J44" s="2905"/>
      <c r="K44" s="2041"/>
      <c r="L44" s="2026">
        <f t="shared" si="184"/>
        <v>5.5000000000000005E-3</v>
      </c>
      <c r="M44" s="2026">
        <f t="shared" si="185"/>
        <v>5.8999999999999999E-3</v>
      </c>
      <c r="N44" s="2026">
        <f t="shared" si="186"/>
        <v>6.4000000000000003E-3</v>
      </c>
      <c r="O44" s="2026"/>
      <c r="P44" s="2026">
        <f t="shared" si="187"/>
        <v>5.8999999999999999E-3</v>
      </c>
      <c r="Q44" s="2905"/>
      <c r="R44" s="2025"/>
      <c r="S44" s="2025">
        <f>ROUND(IF(项目基本情况!$B$8="出让",SUMPRODUCT(PRODUCT(1+L44:L$52)),SUMPRODUCT(PRODUCT(1+L44:L$51))),4)</f>
        <v>1.0344</v>
      </c>
      <c r="T44" s="2025">
        <f>ROUND(IF(项目基本情况!$B$8="出让",SUMPRODUCT(PRODUCT(1+M44:M$52)),SUMPRODUCT(PRODUCT(1+M44:M$51))),4)</f>
        <v>1.0224</v>
      </c>
      <c r="U44" s="2025">
        <f>ROUND(IF(项目基本情况!$B$8="出让",SUMPRODUCT(PRODUCT(1+N44:N$52)),SUMPRODUCT(PRODUCT(1+N44:N$51))),4)</f>
        <v>1.0573999999999999</v>
      </c>
      <c r="V44" s="2025"/>
      <c r="W44" s="2025">
        <f t="shared" si="188"/>
        <v>1.0224</v>
      </c>
      <c r="X44" s="2905"/>
      <c r="Y44" s="2026"/>
      <c r="Z44" s="2901"/>
      <c r="AA44" s="2902"/>
      <c r="AB44" s="2026"/>
      <c r="AC44" s="2903"/>
      <c r="AD44" s="2026"/>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3" customFormat="1" ht="12.75">
      <c r="A45" s="2904" t="s">
        <v>3364</v>
      </c>
      <c r="B45" s="2029">
        <v>2022</v>
      </c>
      <c r="C45" s="2040">
        <v>4</v>
      </c>
      <c r="D45" s="2005"/>
      <c r="E45" s="2005">
        <v>0.45</v>
      </c>
      <c r="F45" s="2005">
        <v>0.2</v>
      </c>
      <c r="G45" s="2005">
        <v>0.38</v>
      </c>
      <c r="H45" s="2916"/>
      <c r="I45" s="2006">
        <f t="shared" si="174"/>
        <v>0.2</v>
      </c>
      <c r="J45" s="2905"/>
      <c r="K45" s="2041"/>
      <c r="L45" s="2026">
        <f t="shared" si="175"/>
        <v>4.5000000000000005E-3</v>
      </c>
      <c r="M45" s="2026">
        <f t="shared" si="175"/>
        <v>2E-3</v>
      </c>
      <c r="N45" s="2026">
        <f t="shared" si="175"/>
        <v>3.8E-3</v>
      </c>
      <c r="O45" s="2026"/>
      <c r="P45" s="2026">
        <f t="shared" ref="P45:P52" si="189">M45</f>
        <v>2E-3</v>
      </c>
      <c r="Q45" s="2905"/>
      <c r="R45" s="2025"/>
      <c r="S45" s="2025">
        <f>ROUND(IF(项目基本情况!$B$8="出让",SUMPRODUCT(PRODUCT(1+L45:L$52)),SUMPRODUCT(PRODUCT(1+L45:L$51))),4)</f>
        <v>1.0286999999999999</v>
      </c>
      <c r="T45" s="2025">
        <f>ROUND(IF(项目基本情况!$B$8="出让",SUMPRODUCT(PRODUCT(1+M45:M$52)),SUMPRODUCT(PRODUCT(1+M45:M$51))),4)</f>
        <v>1.0164</v>
      </c>
      <c r="U45" s="2025">
        <f>ROUND(IF(项目基本情况!$B$8="出让",SUMPRODUCT(PRODUCT(1+N45:N$52)),SUMPRODUCT(PRODUCT(1+N45:N$51))),4)</f>
        <v>1.0506</v>
      </c>
      <c r="V45" s="2025"/>
      <c r="W45" s="2025">
        <f t="shared" ref="W45:W52" si="190">T45</f>
        <v>1.0164</v>
      </c>
      <c r="X45" s="2905"/>
      <c r="Y45" s="2026"/>
      <c r="Z45" s="2901">
        <f t="shared" ref="Z45:AD52" si="191">IF(E45=0,0,ROUND(AVERAGE(E45:E53)/100,4))</f>
        <v>4.0000000000000001E-3</v>
      </c>
      <c r="AA45" s="2902">
        <f t="shared" si="191"/>
        <v>2.5999999999999999E-3</v>
      </c>
      <c r="AB45" s="2026">
        <f t="shared" si="191"/>
        <v>7.4000000000000003E-3</v>
      </c>
      <c r="AC45" s="2903"/>
      <c r="AD45" s="2026">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3" customFormat="1" ht="12.75">
      <c r="A46" s="2904" t="s">
        <v>3363</v>
      </c>
      <c r="B46" s="2029">
        <v>2022</v>
      </c>
      <c r="C46" s="2040">
        <v>3</v>
      </c>
      <c r="D46" s="2005"/>
      <c r="E46" s="2005">
        <v>0.3</v>
      </c>
      <c r="F46" s="2005">
        <v>0.28999999999999998</v>
      </c>
      <c r="G46" s="2005">
        <v>0.83</v>
      </c>
      <c r="H46" s="2916"/>
      <c r="I46" s="2006">
        <f t="shared" si="174"/>
        <v>0.28999999999999998</v>
      </c>
      <c r="J46" s="2905"/>
      <c r="K46" s="2041"/>
      <c r="L46" s="2026">
        <f t="shared" si="175"/>
        <v>3.0000000000000001E-3</v>
      </c>
      <c r="M46" s="2026">
        <f t="shared" si="175"/>
        <v>2.8999999999999998E-3</v>
      </c>
      <c r="N46" s="2026">
        <f t="shared" si="175"/>
        <v>8.3000000000000001E-3</v>
      </c>
      <c r="O46" s="2026"/>
      <c r="P46" s="2026">
        <f t="shared" si="189"/>
        <v>2.8999999999999998E-3</v>
      </c>
      <c r="Q46" s="2905"/>
      <c r="R46" s="2025"/>
      <c r="S46" s="2025">
        <f>ROUND(IF(项目基本情况!$B$8="出让",SUMPRODUCT(PRODUCT(1+L46:L$52)),SUMPRODUCT(PRODUCT(1+L46:L$51))),4)</f>
        <v>1.0241</v>
      </c>
      <c r="T46" s="2025">
        <f>ROUND(IF(项目基本情况!$B$8="出让",SUMPRODUCT(PRODUCT(1+M46:M$52)),SUMPRODUCT(PRODUCT(1+M46:M$51))),4)</f>
        <v>1.0144</v>
      </c>
      <c r="U46" s="2025">
        <f>ROUND(IF(项目基本情况!$B$8="出让",SUMPRODUCT(PRODUCT(1+N46:N$52)),SUMPRODUCT(PRODUCT(1+N46:N$51))),4)</f>
        <v>1.0467</v>
      </c>
      <c r="V46" s="2025"/>
      <c r="W46" s="2025">
        <f t="shared" si="190"/>
        <v>1.0144</v>
      </c>
      <c r="X46" s="2905"/>
      <c r="Y46" s="2026"/>
      <c r="Z46" s="2901">
        <f t="shared" si="191"/>
        <v>3.8999999999999998E-3</v>
      </c>
      <c r="AA46" s="2902">
        <f t="shared" si="191"/>
        <v>2.7000000000000001E-3</v>
      </c>
      <c r="AB46" s="2026">
        <f t="shared" si="191"/>
        <v>7.9000000000000008E-3</v>
      </c>
      <c r="AC46" s="2903"/>
      <c r="AD46" s="2026">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3" customFormat="1" ht="12.75">
      <c r="A47" s="2904" t="s">
        <v>3353</v>
      </c>
      <c r="B47" s="2029">
        <v>2022</v>
      </c>
      <c r="C47" s="2040">
        <v>2</v>
      </c>
      <c r="D47" s="2005"/>
      <c r="E47" s="2005">
        <v>-0.11</v>
      </c>
      <c r="F47" s="2005">
        <v>-0.13</v>
      </c>
      <c r="G47" s="2005">
        <v>0.53</v>
      </c>
      <c r="H47" s="2916"/>
      <c r="I47" s="2006">
        <f t="shared" si="174"/>
        <v>-0.13</v>
      </c>
      <c r="J47" s="2905"/>
      <c r="K47" s="2041"/>
      <c r="L47" s="2026">
        <f t="shared" si="175"/>
        <v>-1.1000000000000001E-3</v>
      </c>
      <c r="M47" s="2026">
        <f t="shared" si="175"/>
        <v>-1.2999999999999999E-3</v>
      </c>
      <c r="N47" s="2026">
        <f t="shared" si="175"/>
        <v>5.3E-3</v>
      </c>
      <c r="O47" s="2026"/>
      <c r="P47" s="2026">
        <f t="shared" si="189"/>
        <v>-1.2999999999999999E-3</v>
      </c>
      <c r="Q47" s="2905"/>
      <c r="R47" s="2025"/>
      <c r="S47" s="2025">
        <f>ROUND(IF(项目基本情况!$B$8="出让",SUMPRODUCT(PRODUCT(1+L47:L$52)),SUMPRODUCT(PRODUCT(1+L47:L$51))),4)</f>
        <v>1.0210999999999999</v>
      </c>
      <c r="T47" s="2025">
        <f>ROUND(IF(项目基本情况!$B$8="出让",SUMPRODUCT(PRODUCT(1+M47:M$52)),SUMPRODUCT(PRODUCT(1+M47:M$51))),4)</f>
        <v>1.0114000000000001</v>
      </c>
      <c r="U47" s="2025">
        <f>ROUND(IF(项目基本情况!$B$8="出让",SUMPRODUCT(PRODUCT(1+N47:N$52)),SUMPRODUCT(PRODUCT(1+N47:N$51))),4)</f>
        <v>1.0381</v>
      </c>
      <c r="V47" s="2025"/>
      <c r="W47" s="2025">
        <f t="shared" si="190"/>
        <v>1.0114000000000001</v>
      </c>
      <c r="X47" s="2905"/>
      <c r="Y47" s="2026"/>
      <c r="Z47" s="2901">
        <f t="shared" si="191"/>
        <v>4.1000000000000003E-3</v>
      </c>
      <c r="AA47" s="2902">
        <f t="shared" si="191"/>
        <v>2.7000000000000001E-3</v>
      </c>
      <c r="AB47" s="2026">
        <f t="shared" si="191"/>
        <v>7.9000000000000008E-3</v>
      </c>
      <c r="AC47" s="2903"/>
      <c r="AD47" s="2026">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3" customFormat="1" ht="12.75">
      <c r="A48" s="2904" t="s">
        <v>2835</v>
      </c>
      <c r="B48" s="2029">
        <v>2022</v>
      </c>
      <c r="C48" s="2040">
        <v>1</v>
      </c>
      <c r="D48" s="2005"/>
      <c r="E48" s="2005">
        <v>0.6</v>
      </c>
      <c r="F48" s="2005">
        <v>0.45</v>
      </c>
      <c r="G48" s="2005">
        <v>0.53</v>
      </c>
      <c r="H48" s="2916"/>
      <c r="I48" s="2006">
        <f t="shared" si="174"/>
        <v>0.45</v>
      </c>
      <c r="J48" s="2905"/>
      <c r="K48" s="2041"/>
      <c r="L48" s="2026">
        <f t="shared" si="175"/>
        <v>6.0000000000000001E-3</v>
      </c>
      <c r="M48" s="2026">
        <f t="shared" si="175"/>
        <v>4.5000000000000005E-3</v>
      </c>
      <c r="N48" s="2026">
        <f t="shared" si="175"/>
        <v>5.3E-3</v>
      </c>
      <c r="O48" s="2026"/>
      <c r="P48" s="2026">
        <f t="shared" si="189"/>
        <v>4.5000000000000005E-3</v>
      </c>
      <c r="Q48" s="2905"/>
      <c r="R48" s="2025"/>
      <c r="S48" s="2025">
        <f>ROUND(IF(项目基本情况!$B$8="出让",SUMPRODUCT(PRODUCT(1+L48:L$52)),SUMPRODUCT(PRODUCT(1+L48:L$51))),4)</f>
        <v>1.0222</v>
      </c>
      <c r="T48" s="2025">
        <f>ROUND(IF(项目基本情况!$B$8="出让",SUMPRODUCT(PRODUCT(1+M48:M$52)),SUMPRODUCT(PRODUCT(1+M48:M$51))),4)</f>
        <v>1.0127999999999999</v>
      </c>
      <c r="U48" s="2025">
        <f>ROUND(IF(项目基本情况!$B$8="出让",SUMPRODUCT(PRODUCT(1+N48:N$52)),SUMPRODUCT(PRODUCT(1+N48:N$51))),4)</f>
        <v>1.0326</v>
      </c>
      <c r="V48" s="2025"/>
      <c r="W48" s="2025">
        <f t="shared" si="190"/>
        <v>1.0127999999999999</v>
      </c>
      <c r="X48" s="2905"/>
      <c r="Y48" s="2026"/>
      <c r="Z48" s="2901">
        <f t="shared" si="191"/>
        <v>5.1000000000000004E-3</v>
      </c>
      <c r="AA48" s="2902">
        <f t="shared" si="191"/>
        <v>3.5000000000000001E-3</v>
      </c>
      <c r="AB48" s="2026">
        <f t="shared" si="191"/>
        <v>8.3999999999999995E-3</v>
      </c>
      <c r="AC48" s="2903"/>
      <c r="AD48" s="2026">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3" customFormat="1" ht="12.75">
      <c r="A49" s="2904" t="s">
        <v>2836</v>
      </c>
      <c r="B49" s="2029">
        <v>2021</v>
      </c>
      <c r="C49" s="2040">
        <v>4</v>
      </c>
      <c r="D49" s="2005"/>
      <c r="E49" s="2005">
        <v>0.57999999999999996</v>
      </c>
      <c r="F49" s="2005">
        <v>0.08</v>
      </c>
      <c r="G49" s="2005">
        <v>0.68</v>
      </c>
      <c r="H49" s="2916"/>
      <c r="I49" s="2006">
        <f t="shared" si="174"/>
        <v>0.08</v>
      </c>
      <c r="J49" s="2905"/>
      <c r="K49" s="2041"/>
      <c r="L49" s="2026">
        <f t="shared" si="175"/>
        <v>5.7999999999999996E-3</v>
      </c>
      <c r="M49" s="2026">
        <f t="shared" si="175"/>
        <v>8.0000000000000004E-4</v>
      </c>
      <c r="N49" s="2026">
        <f t="shared" si="175"/>
        <v>6.8000000000000005E-3</v>
      </c>
      <c r="O49" s="2026"/>
      <c r="P49" s="2026">
        <f t="shared" si="189"/>
        <v>8.0000000000000004E-4</v>
      </c>
      <c r="Q49" s="2905"/>
      <c r="R49" s="2025"/>
      <c r="S49" s="2025">
        <f>ROUND(IF(项目基本情况!$B$8="出让",SUMPRODUCT(PRODUCT(1+L49:L$52)),SUMPRODUCT(PRODUCT(1+L49:L$51))),4)</f>
        <v>1.0161</v>
      </c>
      <c r="T49" s="2025">
        <f>ROUND(IF(项目基本情况!$B$8="出让",SUMPRODUCT(PRODUCT(1+M49:M$52)),SUMPRODUCT(PRODUCT(1+M49:M$51))),4)</f>
        <v>1.0082</v>
      </c>
      <c r="U49" s="2025">
        <f>ROUND(IF(项目基本情况!$B$8="出让",SUMPRODUCT(PRODUCT(1+N49:N$52)),SUMPRODUCT(PRODUCT(1+N49:N$51))),4)</f>
        <v>1.0270999999999999</v>
      </c>
      <c r="V49" s="2025"/>
      <c r="W49" s="2025">
        <f t="shared" si="190"/>
        <v>1.0082</v>
      </c>
      <c r="X49" s="2905"/>
      <c r="Y49" s="2026"/>
      <c r="Z49" s="2901">
        <f t="shared" si="191"/>
        <v>4.8999999999999998E-3</v>
      </c>
      <c r="AA49" s="2902">
        <f t="shared" si="191"/>
        <v>3.3E-3</v>
      </c>
      <c r="AB49" s="2026">
        <f t="shared" si="191"/>
        <v>9.1999999999999998E-3</v>
      </c>
      <c r="AC49" s="2903"/>
      <c r="AD49" s="2026">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3" customFormat="1" ht="12.75">
      <c r="A50" s="2904" t="s">
        <v>2837</v>
      </c>
      <c r="B50" s="2029">
        <v>2021</v>
      </c>
      <c r="C50" s="2040">
        <v>3</v>
      </c>
      <c r="D50" s="2005"/>
      <c r="E50" s="2005">
        <v>0.47</v>
      </c>
      <c r="F50" s="2005">
        <v>0.28000000000000003</v>
      </c>
      <c r="G50" s="2005">
        <v>0.91</v>
      </c>
      <c r="H50" s="2916"/>
      <c r="I50" s="2006">
        <f t="shared" si="174"/>
        <v>0.28000000000000003</v>
      </c>
      <c r="J50" s="2905"/>
      <c r="K50" s="2041"/>
      <c r="L50" s="2026">
        <f t="shared" si="175"/>
        <v>4.6999999999999993E-3</v>
      </c>
      <c r="M50" s="2026">
        <f t="shared" si="175"/>
        <v>2.8000000000000004E-3</v>
      </c>
      <c r="N50" s="2026">
        <f t="shared" si="175"/>
        <v>9.1000000000000004E-3</v>
      </c>
      <c r="O50" s="2026"/>
      <c r="P50" s="2026">
        <f t="shared" si="189"/>
        <v>2.8000000000000004E-3</v>
      </c>
      <c r="Q50" s="2905"/>
      <c r="R50" s="2025"/>
      <c r="S50" s="2025">
        <f>ROUND(IF(项目基本情况!$B$8="出让",SUMPRODUCT(PRODUCT(1+L50:L$52)),SUMPRODUCT(PRODUCT(1+L50:L$51))),4)</f>
        <v>1.0102</v>
      </c>
      <c r="T50" s="2025">
        <f>ROUND(IF(项目基本情况!$B$8="出让",SUMPRODUCT(PRODUCT(1+M50:M$52)),SUMPRODUCT(PRODUCT(1+M50:M$51))),4)</f>
        <v>1.0074000000000001</v>
      </c>
      <c r="U50" s="2025">
        <f>ROUND(IF(项目基本情况!$B$8="出让",SUMPRODUCT(PRODUCT(1+N50:N$52)),SUMPRODUCT(PRODUCT(1+N50:N$51))),4)</f>
        <v>1.0202</v>
      </c>
      <c r="V50" s="2025"/>
      <c r="W50" s="2025">
        <f t="shared" si="190"/>
        <v>1.0074000000000001</v>
      </c>
      <c r="X50" s="2905"/>
      <c r="Y50" s="2026"/>
      <c r="Z50" s="2901">
        <f t="shared" si="191"/>
        <v>4.5999999999999999E-3</v>
      </c>
      <c r="AA50" s="2902">
        <f t="shared" si="191"/>
        <v>4.1000000000000003E-3</v>
      </c>
      <c r="AB50" s="2026">
        <f t="shared" si="191"/>
        <v>0.01</v>
      </c>
      <c r="AC50" s="2903"/>
      <c r="AD50" s="2026">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3" customFormat="1" ht="12.75">
      <c r="A51" s="2904" t="s">
        <v>2838</v>
      </c>
      <c r="B51" s="2029">
        <v>2021</v>
      </c>
      <c r="C51" s="2040">
        <v>2</v>
      </c>
      <c r="D51" s="2005"/>
      <c r="E51" s="2005">
        <v>0.55000000000000004</v>
      </c>
      <c r="F51" s="2005">
        <v>0.46</v>
      </c>
      <c r="G51" s="2005">
        <v>1.1000000000000001</v>
      </c>
      <c r="H51" s="2916"/>
      <c r="I51" s="2006">
        <f t="shared" si="174"/>
        <v>0.46</v>
      </c>
      <c r="J51" s="2905"/>
      <c r="K51" s="2041"/>
      <c r="L51" s="2026">
        <f t="shared" si="175"/>
        <v>5.5000000000000005E-3</v>
      </c>
      <c r="M51" s="2026">
        <f t="shared" si="175"/>
        <v>4.5999999999999999E-3</v>
      </c>
      <c r="N51" s="2026">
        <f t="shared" si="175"/>
        <v>1.1000000000000001E-2</v>
      </c>
      <c r="O51" s="2026"/>
      <c r="P51" s="2026">
        <f t="shared" si="189"/>
        <v>4.5999999999999999E-3</v>
      </c>
      <c r="Q51" s="2905"/>
      <c r="R51" s="2025"/>
      <c r="S51" s="2025">
        <f>ROUND(IF(项目基本情况!$B$8="出让",SUMPRODUCT(PRODUCT(1+L51:L$52)),SUMPRODUCT(PRODUCT(1+L51:L$51))),4)</f>
        <v>1.0055000000000001</v>
      </c>
      <c r="T51" s="2025">
        <f>ROUND(IF(项目基本情况!$B$8="出让",SUMPRODUCT(PRODUCT(1+M51:M$52)),SUMPRODUCT(PRODUCT(1+M51:M$51))),4)</f>
        <v>1.0045999999999999</v>
      </c>
      <c r="U51" s="2025">
        <f>ROUND(IF(项目基本情况!$B$8="出让",SUMPRODUCT(PRODUCT(1+N51:N$52)),SUMPRODUCT(PRODUCT(1+N51:N$51))),4)</f>
        <v>1.0109999999999999</v>
      </c>
      <c r="V51" s="2025"/>
      <c r="W51" s="2025">
        <f t="shared" si="190"/>
        <v>1.0045999999999999</v>
      </c>
      <c r="X51" s="2905"/>
      <c r="Y51" s="2026"/>
      <c r="Z51" s="2901">
        <f t="shared" si="191"/>
        <v>4.4999999999999997E-3</v>
      </c>
      <c r="AA51" s="2902">
        <f t="shared" si="191"/>
        <v>4.7000000000000002E-3</v>
      </c>
      <c r="AB51" s="2026">
        <f t="shared" si="191"/>
        <v>1.04E-2</v>
      </c>
      <c r="AC51" s="2903"/>
      <c r="AD51" s="2026">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2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2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75"/>
  <cols>
    <col min="1" max="1" width="9" style="2025"/>
    <col min="2" max="6" width="9" style="2025" customWidth="1"/>
    <col min="7" max="7" width="9" style="2059"/>
    <col min="8" max="8" width="9" style="2025"/>
    <col min="9" max="12" width="9" style="2025" customWidth="1"/>
    <col min="13" max="13" width="2.25" style="2025" customWidth="1"/>
    <col min="14" max="14" width="9" style="2059" customWidth="1"/>
    <col min="15" max="17" width="9" style="2025" customWidth="1"/>
    <col min="18" max="18" width="2.375" style="2025" customWidth="1"/>
    <col min="19" max="19" width="7.125" style="2059" customWidth="1"/>
    <col min="20" max="22" width="7.125" style="2025" customWidth="1"/>
    <col min="23" max="23" width="24.25" style="2025" customWidth="1"/>
    <col min="24" max="25" width="9" style="2025"/>
    <col min="26" max="27" width="11.625" style="2025" customWidth="1"/>
    <col min="28" max="28" width="9" style="2025"/>
    <col min="29" max="29" width="2" style="2025" customWidth="1"/>
    <col min="30" max="16384" width="9" style="2025"/>
  </cols>
  <sheetData>
    <row r="1" spans="1:34" s="2007" customFormat="1">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08" customFormat="1" ht="14.25" thickBot="1">
      <c r="B2" s="2009" t="s">
        <v>458</v>
      </c>
      <c r="C2" s="2009" t="s">
        <v>459</v>
      </c>
      <c r="D2" s="2010" t="s">
        <v>460</v>
      </c>
      <c r="E2" s="2010" t="s">
        <v>461</v>
      </c>
      <c r="F2" s="2009" t="s">
        <v>462</v>
      </c>
      <c r="G2" s="2011"/>
      <c r="I2" s="2009" t="s">
        <v>458</v>
      </c>
      <c r="J2" s="2010" t="s">
        <v>676</v>
      </c>
      <c r="K2" s="2010" t="s">
        <v>308</v>
      </c>
      <c r="L2" s="2009" t="s">
        <v>462</v>
      </c>
      <c r="N2" s="2009" t="s">
        <v>458</v>
      </c>
      <c r="O2" s="2010" t="s">
        <v>676</v>
      </c>
      <c r="P2" s="2010" t="s">
        <v>308</v>
      </c>
      <c r="Q2" s="2009" t="s">
        <v>462</v>
      </c>
      <c r="S2" s="2009" t="s">
        <v>458</v>
      </c>
      <c r="T2" s="2010" t="s">
        <v>676</v>
      </c>
      <c r="U2" s="2010" t="s">
        <v>308</v>
      </c>
      <c r="V2" s="2009" t="s">
        <v>462</v>
      </c>
      <c r="X2" s="2009" t="s">
        <v>458</v>
      </c>
      <c r="Y2" s="2009" t="s">
        <v>459</v>
      </c>
      <c r="Z2" s="2010" t="s">
        <v>460</v>
      </c>
      <c r="AA2" s="2010" t="s">
        <v>461</v>
      </c>
      <c r="AB2" s="2009" t="s">
        <v>462</v>
      </c>
      <c r="AD2" s="2009" t="s">
        <v>458</v>
      </c>
      <c r="AE2" s="2009" t="s">
        <v>459</v>
      </c>
      <c r="AF2" s="2010" t="s">
        <v>460</v>
      </c>
      <c r="AG2" s="2010" t="s">
        <v>461</v>
      </c>
      <c r="AH2" s="2009" t="s">
        <v>462</v>
      </c>
    </row>
    <row r="3" spans="1:34" s="2016" customFormat="1" ht="14.25">
      <c r="A3" s="2012" t="s">
        <v>2114</v>
      </c>
      <c r="B3" s="2013"/>
      <c r="C3" s="2013"/>
      <c r="D3" s="2014"/>
      <c r="E3" s="2014"/>
      <c r="F3" s="2013"/>
      <c r="G3" s="2015"/>
      <c r="I3" s="2017">
        <f>ROUND(AVERAGE($I4:$I40),2)</f>
        <v>1.55</v>
      </c>
      <c r="J3" s="2017">
        <f>ROUND(AVERAGE($J4:$J40),2)</f>
        <v>0.97</v>
      </c>
      <c r="K3" s="2017">
        <f>ROUND(AVERAGE($K4:$K40),2)</f>
        <v>1.66</v>
      </c>
      <c r="L3" s="2017">
        <f>ROUND(AVERAGE($L4:$L40),2)</f>
        <v>1.1000000000000001</v>
      </c>
      <c r="N3" s="2015"/>
      <c r="S3" s="2015"/>
      <c r="W3" s="2018"/>
      <c r="X3" s="2019">
        <f>ROUND(SUMPRODUCT(PRODUCT(1+N3:N$39)),4)</f>
        <v>1.6585000000000001</v>
      </c>
      <c r="Y3" s="2019">
        <f>ROUND(SUMPRODUCT(PRODUCT(1+O3:O$39)),4)</f>
        <v>1.3676999999999999</v>
      </c>
      <c r="Z3" s="2019">
        <f t="shared" ref="Z3:Z37" si="0">Y3</f>
        <v>1.3676999999999999</v>
      </c>
      <c r="AA3" s="2019">
        <f>ROUND(SUMPRODUCT(PRODUCT(1+P3:P$39)),4)</f>
        <v>1.7434000000000001</v>
      </c>
      <c r="AB3" s="2019">
        <f>ROUND(SUMPRODUCT(PRODUCT(1+Q3:Q$39)),4)</f>
        <v>1.4609000000000001</v>
      </c>
      <c r="AD3" s="2020">
        <f>ROUND(AVERAGE(I3:I$40)/100,4)</f>
        <v>1.55E-2</v>
      </c>
      <c r="AE3" s="2020">
        <f>ROUND(AVERAGE(J3:J$40)/100,4)</f>
        <v>9.7000000000000003E-3</v>
      </c>
      <c r="AF3" s="2020">
        <f t="shared" ref="AF3:AF38" si="1">AE3</f>
        <v>9.7000000000000003E-3</v>
      </c>
      <c r="AG3" s="2020">
        <f>ROUND(AVERAGE(K3:K$40)/100,4)</f>
        <v>1.66E-2</v>
      </c>
      <c r="AH3" s="2020">
        <f>ROUND(AVERAGE(L3:L$40)/100,4)</f>
        <v>1.0999999999999999E-2</v>
      </c>
    </row>
    <row r="4" spans="1:34" s="2007" customFormat="1" ht="14.25">
      <c r="B4" s="2021"/>
      <c r="C4" s="2021"/>
      <c r="D4" s="2022"/>
      <c r="E4" s="2022"/>
      <c r="F4" s="2021"/>
      <c r="G4" s="2023"/>
      <c r="I4" s="2024"/>
      <c r="J4" s="2024"/>
      <c r="K4" s="2024"/>
      <c r="L4" s="2024"/>
      <c r="N4" s="2023"/>
      <c r="S4" s="2023"/>
      <c r="X4" s="2025"/>
      <c r="Y4" s="2025"/>
      <c r="Z4" s="2025"/>
      <c r="AA4" s="2025"/>
      <c r="AB4" s="2025"/>
      <c r="AD4" s="2026"/>
      <c r="AE4" s="2026"/>
      <c r="AF4" s="2026"/>
      <c r="AG4" s="2026"/>
      <c r="AH4" s="2026"/>
    </row>
    <row r="5" spans="1:34" s="2043" customFormat="1">
      <c r="A5" s="2038" t="s">
        <v>3361</v>
      </c>
      <c r="B5" s="2039">
        <f t="shared" ref="B5" si="2">B6*(1+N5)</f>
        <v>510.07089659554606</v>
      </c>
      <c r="C5" s="2039">
        <f t="shared" ref="C5" si="3">C6*(1+O5)</f>
        <v>352.55593185737411</v>
      </c>
      <c r="D5" s="2039">
        <f t="shared" ref="D5" si="4">C5</f>
        <v>352.55593185737411</v>
      </c>
      <c r="E5" s="2039">
        <f t="shared" ref="E5" si="5">E6*(1+P5)</f>
        <v>737.27992463403655</v>
      </c>
      <c r="F5" s="2039">
        <f t="shared" ref="F5" si="6">F6*(1+Q5)</f>
        <v>335.88319198297864</v>
      </c>
      <c r="G5" s="2029">
        <v>2022</v>
      </c>
      <c r="H5" s="2040">
        <v>1</v>
      </c>
      <c r="I5" s="2005">
        <v>0</v>
      </c>
      <c r="J5" s="2005">
        <v>0</v>
      </c>
      <c r="K5" s="2005">
        <v>0</v>
      </c>
      <c r="L5" s="2006">
        <v>0</v>
      </c>
      <c r="M5" s="2025"/>
      <c r="N5" s="2041">
        <f t="shared" ref="N5" si="7">I5/100</f>
        <v>0</v>
      </c>
      <c r="O5" s="2026">
        <f t="shared" ref="O5" si="8">J5/100</f>
        <v>0</v>
      </c>
      <c r="P5" s="2026">
        <f t="shared" ref="P5" si="9">K5/100</f>
        <v>0</v>
      </c>
      <c r="Q5" s="2026">
        <f t="shared" ref="Q5" si="10">L5/100</f>
        <v>0</v>
      </c>
      <c r="R5" s="2042"/>
      <c r="S5" s="2041"/>
      <c r="T5" s="2026"/>
      <c r="U5" s="2026"/>
      <c r="V5" s="2026"/>
      <c r="W5" s="2025"/>
      <c r="X5" s="2025" t="e">
        <f>ROUND(IF(项目基本情况!#REF!="出让",SUMPRODUCT(PRODUCT(1+N5:N$40)),SUMPRODUCT(PRODUCT(1+N5:N$39))),4)</f>
        <v>#REF!</v>
      </c>
      <c r="Y5" s="2025" t="e">
        <f>ROUND(IF(项目基本情况!#REF!="出让",SUMPRODUCT(PRODUCT(1+O5:O$40)),SUMPRODUCT(PRODUCT(1+O5:O$39))),4)</f>
        <v>#REF!</v>
      </c>
      <c r="Z5" s="2025" t="e">
        <f t="shared" ref="Z5" si="11">Y5</f>
        <v>#REF!</v>
      </c>
      <c r="AA5" s="2025" t="e">
        <f>ROUND(IF(项目基本情况!#REF!="出让",SUMPRODUCT(PRODUCT(1+P5:P$40)),SUMPRODUCT(PRODUCT(1+P5:P$39))),4)</f>
        <v>#REF!</v>
      </c>
      <c r="AB5" s="2025" t="e">
        <f>ROUND(IF(项目基本情况!#REF!="出让",SUMPRODUCT(PRODUCT(1+Q5:Q$40)),SUMPRODUCT(PRODUCT(1+Q5:Q$39))),4)</f>
        <v>#REF!</v>
      </c>
      <c r="AC5" s="2025"/>
      <c r="AD5" s="2026">
        <f>ROUND(AVERAGE(I5:I$40)/100,4)</f>
        <v>1.55E-2</v>
      </c>
      <c r="AE5" s="2026">
        <f>ROUND(AVERAGE(J5:J$40)/100,4)</f>
        <v>9.7000000000000003E-3</v>
      </c>
      <c r="AF5" s="2026">
        <f t="shared" ref="AF5" si="12">AE5</f>
        <v>9.7000000000000003E-3</v>
      </c>
      <c r="AG5" s="2026">
        <f>ROUND(AVERAGE(K5:K$40)/100,4)</f>
        <v>1.66E-2</v>
      </c>
      <c r="AH5" s="2026">
        <f>ROUND(AVERAGE(L5:L$40)/100,4)</f>
        <v>1.0999999999999999E-2</v>
      </c>
    </row>
    <row r="6" spans="1:34" s="2032" customFormat="1">
      <c r="A6" s="2027" t="s">
        <v>3358</v>
      </c>
      <c r="B6" s="2028">
        <f t="shared" ref="B6" si="13">B7*(1+N6)</f>
        <v>510.07089659554606</v>
      </c>
      <c r="C6" s="2028">
        <f t="shared" ref="C6" si="14">C7*(1+O6)</f>
        <v>352.55593185737411</v>
      </c>
      <c r="D6" s="2028">
        <f t="shared" ref="D6" si="15">C6</f>
        <v>352.55593185737411</v>
      </c>
      <c r="E6" s="2028">
        <f t="shared" ref="E6" si="16">E7*(1+P6)</f>
        <v>737.27992463403655</v>
      </c>
      <c r="F6" s="2028">
        <f t="shared" ref="F6" si="17">F7*(1+Q6)</f>
        <v>335.88319198297864</v>
      </c>
      <c r="G6" s="2029">
        <v>2022</v>
      </c>
      <c r="H6" s="2030">
        <v>1</v>
      </c>
      <c r="I6" s="2031">
        <v>0</v>
      </c>
      <c r="J6" s="2031">
        <v>0</v>
      </c>
      <c r="K6" s="2031">
        <v>0</v>
      </c>
      <c r="L6" s="2031">
        <v>0</v>
      </c>
      <c r="N6" s="2033">
        <f t="shared" ref="N6" si="18">I6/100</f>
        <v>0</v>
      </c>
      <c r="O6" s="2033">
        <f t="shared" ref="O6" si="19">J6/100</f>
        <v>0</v>
      </c>
      <c r="P6" s="2033">
        <f t="shared" ref="P6" si="20">K6/100</f>
        <v>0</v>
      </c>
      <c r="Q6" s="2033">
        <f t="shared" ref="Q6" si="21">L6/100</f>
        <v>0</v>
      </c>
      <c r="S6" s="2034"/>
      <c r="W6" s="2035" t="s">
        <v>2115</v>
      </c>
      <c r="X6" s="2036" t="e">
        <f>ROUND(IF(项目基本情况!#REF!="出让",SUMPRODUCT(PRODUCT(1+N6:N$40)),SUMPRODUCT(PRODUCT(1+N6:N$39))),4)</f>
        <v>#REF!</v>
      </c>
      <c r="Y6" s="2036" t="e">
        <f>ROUND(IF(项目基本情况!#REF!="出让",SUMPRODUCT(PRODUCT(1+O6:O$40)),SUMPRODUCT(PRODUCT(1+O6:O$39))),4)</f>
        <v>#REF!</v>
      </c>
      <c r="Z6" s="2036" t="e">
        <f t="shared" ref="Z6" si="22">Y6</f>
        <v>#REF!</v>
      </c>
      <c r="AA6" s="2036" t="e">
        <f>ROUND(IF(项目基本情况!#REF!="出让",SUMPRODUCT(PRODUCT(1+P6:P$40)),SUMPRODUCT(PRODUCT(1+P6:P$39))),4)</f>
        <v>#REF!</v>
      </c>
      <c r="AB6" s="2036" t="e">
        <f>ROUND(IF(项目基本情况!#REF!="出让",SUMPRODUCT(PRODUCT(1+Q6:Q$40)),SUMPRODUCT(PRODUCT(1+Q6:Q$39))),4)</f>
        <v>#REF!</v>
      </c>
      <c r="AD6" s="2037">
        <f>ROUND(AVERAGE(I6:I$40)/100,4)</f>
        <v>1.6E-2</v>
      </c>
      <c r="AE6" s="2037">
        <f>ROUND(AVERAGE(J6:J$40)/100,4)</f>
        <v>0.01</v>
      </c>
      <c r="AF6" s="2037">
        <f t="shared" ref="AF6" si="23">AE6</f>
        <v>0.01</v>
      </c>
      <c r="AG6" s="2037">
        <f>ROUND(AVERAGE(K6:K$40)/100,4)</f>
        <v>1.7100000000000001E-2</v>
      </c>
      <c r="AH6" s="2037">
        <f>ROUND(AVERAGE(L6:L$40)/100,4)</f>
        <v>1.1299999999999999E-2</v>
      </c>
    </row>
    <row r="7" spans="1:34" s="2043" customFormat="1">
      <c r="A7" s="2038" t="s">
        <v>3359</v>
      </c>
      <c r="B7" s="2039">
        <f t="shared" ref="B7" si="24">B8*(1+N7)</f>
        <v>510.07089659554606</v>
      </c>
      <c r="C7" s="2039">
        <f t="shared" ref="C7" si="25">C8*(1+O7)</f>
        <v>352.55593185737411</v>
      </c>
      <c r="D7" s="2039">
        <f t="shared" ref="D7" si="26">C7</f>
        <v>352.55593185737411</v>
      </c>
      <c r="E7" s="2039">
        <f t="shared" ref="E7" si="27">E8*(1+P7)</f>
        <v>737.27992463403655</v>
      </c>
      <c r="F7" s="2039">
        <f t="shared" ref="F7" si="28">F8*(1+Q7)</f>
        <v>335.88319198297864</v>
      </c>
      <c r="G7" s="2029">
        <v>2022</v>
      </c>
      <c r="H7" s="2040">
        <v>1</v>
      </c>
      <c r="I7" s="2005">
        <v>0</v>
      </c>
      <c r="J7" s="2005">
        <v>0</v>
      </c>
      <c r="K7" s="2005">
        <v>0</v>
      </c>
      <c r="L7" s="2006">
        <v>0</v>
      </c>
      <c r="M7" s="2025"/>
      <c r="N7" s="2041">
        <f t="shared" ref="N7" si="29">I7/100</f>
        <v>0</v>
      </c>
      <c r="O7" s="2026">
        <f t="shared" ref="O7" si="30">J7/100</f>
        <v>0</v>
      </c>
      <c r="P7" s="2026">
        <f t="shared" ref="P7" si="31">K7/100</f>
        <v>0</v>
      </c>
      <c r="Q7" s="2026">
        <f t="shared" ref="Q7" si="32">L7/100</f>
        <v>0</v>
      </c>
      <c r="R7" s="2042"/>
      <c r="S7" s="2041"/>
      <c r="T7" s="2026"/>
      <c r="U7" s="2026"/>
      <c r="V7" s="2026"/>
      <c r="W7" s="2025"/>
      <c r="X7" s="2025" t="e">
        <f>ROUND(IF(项目基本情况!#REF!="出让",SUMPRODUCT(PRODUCT(1+N7:N$40)),SUMPRODUCT(PRODUCT(1+N7:N$39))),4)</f>
        <v>#REF!</v>
      </c>
      <c r="Y7" s="2025" t="e">
        <f>ROUND(IF(项目基本情况!#REF!="出让",SUMPRODUCT(PRODUCT(1+O7:O$40)),SUMPRODUCT(PRODUCT(1+O7:O$39))),4)</f>
        <v>#REF!</v>
      </c>
      <c r="Z7" s="2025" t="e">
        <f t="shared" ref="Z7" si="33">Y7</f>
        <v>#REF!</v>
      </c>
      <c r="AA7" s="2025" t="e">
        <f>ROUND(IF(项目基本情况!#REF!="出让",SUMPRODUCT(PRODUCT(1+P7:P$40)),SUMPRODUCT(PRODUCT(1+P7:P$39))),4)</f>
        <v>#REF!</v>
      </c>
      <c r="AB7" s="2025" t="e">
        <f>ROUND(IF(项目基本情况!#REF!="出让",SUMPRODUCT(PRODUCT(1+Q7:Q$40)),SUMPRODUCT(PRODUCT(1+Q7:Q$39))),4)</f>
        <v>#REF!</v>
      </c>
      <c r="AC7" s="2025"/>
      <c r="AD7" s="2026">
        <f>ROUND(AVERAGE(I7:I$40)/100,4)</f>
        <v>1.6400000000000001E-2</v>
      </c>
      <c r="AE7" s="2026">
        <f>ROUND(AVERAGE(J7:J$40)/100,4)</f>
        <v>1.03E-2</v>
      </c>
      <c r="AF7" s="2026">
        <f t="shared" ref="AF7" si="34">AE7</f>
        <v>1.03E-2</v>
      </c>
      <c r="AG7" s="2026">
        <f>ROUND(AVERAGE(K7:K$40)/100,4)</f>
        <v>1.7600000000000001E-2</v>
      </c>
      <c r="AH7" s="2026">
        <f>ROUND(AVERAGE(L7:L$40)/100,4)</f>
        <v>1.1599999999999999E-2</v>
      </c>
    </row>
    <row r="8" spans="1:34" s="2043" customFormat="1">
      <c r="A8" s="2038" t="s">
        <v>3360</v>
      </c>
      <c r="B8" s="2039">
        <f t="shared" ref="B8" si="35">B9*(1+N8)</f>
        <v>510.07089659554606</v>
      </c>
      <c r="C8" s="2039">
        <f t="shared" ref="C8" si="36">C9*(1+O8)</f>
        <v>352.55593185737411</v>
      </c>
      <c r="D8" s="2039">
        <f t="shared" ref="D8" si="37">C8</f>
        <v>352.55593185737411</v>
      </c>
      <c r="E8" s="2039">
        <f t="shared" ref="E8" si="38">E9*(1+P8)</f>
        <v>737.27992463403655</v>
      </c>
      <c r="F8" s="2039">
        <f t="shared" ref="F8" si="39">F9*(1+Q8)</f>
        <v>335.88319198297864</v>
      </c>
      <c r="G8" s="2029">
        <v>2022</v>
      </c>
      <c r="H8" s="2040">
        <v>1</v>
      </c>
      <c r="I8" s="2005"/>
      <c r="J8" s="2005"/>
      <c r="K8" s="2005">
        <v>0</v>
      </c>
      <c r="L8" s="2006">
        <v>0</v>
      </c>
      <c r="M8" s="2025"/>
      <c r="N8" s="2041">
        <f t="shared" ref="N8" si="40">I8/100</f>
        <v>0</v>
      </c>
      <c r="O8" s="2026">
        <f t="shared" ref="O8" si="41">J8/100</f>
        <v>0</v>
      </c>
      <c r="P8" s="2026">
        <f t="shared" ref="P8" si="42">K8/100</f>
        <v>0</v>
      </c>
      <c r="Q8" s="2026">
        <f t="shared" ref="Q8" si="43">L8/100</f>
        <v>0</v>
      </c>
      <c r="R8" s="2042"/>
      <c r="S8" s="2041"/>
      <c r="T8" s="2026"/>
      <c r="U8" s="2026"/>
      <c r="V8" s="2026"/>
      <c r="W8" s="2025"/>
      <c r="X8" s="2025">
        <f>ROUND(IF(项目基本情况!B1="出让",SUMPRODUCT(PRODUCT(1+N8:N$40)),SUMPRODUCT(PRODUCT(1+N8:N$39))),4)</f>
        <v>1.6585000000000001</v>
      </c>
      <c r="Y8" s="2025">
        <f>ROUND(IF(项目基本情况!B1="出让",SUMPRODUCT(PRODUCT(1+O8:O$40)),SUMPRODUCT(PRODUCT(1+O8:O$39))),4)</f>
        <v>1.3676999999999999</v>
      </c>
      <c r="Z8" s="2025">
        <f t="shared" ref="Z8" si="44">Y8</f>
        <v>1.3676999999999999</v>
      </c>
      <c r="AA8" s="2025">
        <f>ROUND(IF(项目基本情况!B1="出让",SUMPRODUCT(PRODUCT(1+P8:P$40)),SUMPRODUCT(PRODUCT(1+P8:P$39))),4)</f>
        <v>1.7434000000000001</v>
      </c>
      <c r="AB8" s="2025">
        <f>ROUND(IF(项目基本情况!B1="出让",SUMPRODUCT(PRODUCT(1+Q8:Q$40)),SUMPRODUCT(PRODUCT(1+Q8:Q$39))),4)</f>
        <v>1.4609000000000001</v>
      </c>
      <c r="AC8" s="2025"/>
      <c r="AD8" s="2026">
        <f>ROUND(AVERAGE(I8:I$40)/100,4)</f>
        <v>1.6899999999999998E-2</v>
      </c>
      <c r="AE8" s="2026">
        <f>ROUND(AVERAGE(J8:J$40)/100,4)</f>
        <v>1.06E-2</v>
      </c>
      <c r="AF8" s="2026">
        <f t="shared" ref="AF8" si="45">AE8</f>
        <v>1.06E-2</v>
      </c>
      <c r="AG8" s="2026">
        <f>ROUND(AVERAGE(K8:K$40)/100,4)</f>
        <v>1.8100000000000002E-2</v>
      </c>
      <c r="AH8" s="2026">
        <f>ROUND(AVERAGE(L8:L$40)/100,4)</f>
        <v>1.2E-2</v>
      </c>
    </row>
    <row r="9" spans="1:34" s="2043" customFormat="1">
      <c r="A9" s="2038" t="s">
        <v>2436</v>
      </c>
      <c r="B9" s="2039">
        <f t="shared" ref="B9" si="46">B10*(1+N9)</f>
        <v>510.07089659554606</v>
      </c>
      <c r="C9" s="2039">
        <f t="shared" ref="C9" si="47">C10*(1+O9)</f>
        <v>352.55593185737411</v>
      </c>
      <c r="D9" s="2039">
        <f t="shared" ref="D9" si="48">C9</f>
        <v>352.55593185737411</v>
      </c>
      <c r="E9" s="2039">
        <f t="shared" ref="E9" si="49">E10*(1+P9)</f>
        <v>737.27992463403655</v>
      </c>
      <c r="F9" s="2039">
        <f t="shared" ref="F9" si="50">F10*(1+Q9)</f>
        <v>335.88319198297864</v>
      </c>
      <c r="G9" s="2029">
        <v>2021</v>
      </c>
      <c r="H9" s="2040">
        <v>4</v>
      </c>
      <c r="I9" s="2005">
        <v>1.03</v>
      </c>
      <c r="J9" s="2005">
        <v>0.24</v>
      </c>
      <c r="K9" s="2005">
        <v>1.17</v>
      </c>
      <c r="L9" s="2006">
        <v>0.55000000000000004</v>
      </c>
      <c r="M9" s="2025"/>
      <c r="N9" s="2041">
        <f t="shared" ref="N9" si="51">I9/100</f>
        <v>1.03E-2</v>
      </c>
      <c r="O9" s="2026">
        <f t="shared" ref="O9" si="52">J9/100</f>
        <v>2.3999999999999998E-3</v>
      </c>
      <c r="P9" s="2026">
        <f t="shared" ref="P9" si="53">K9/100</f>
        <v>1.1699999999999999E-2</v>
      </c>
      <c r="Q9" s="2026">
        <f t="shared" ref="Q9" si="54">L9/100</f>
        <v>5.5000000000000005E-3</v>
      </c>
      <c r="R9" s="2042"/>
      <c r="S9" s="2041"/>
      <c r="T9" s="2026"/>
      <c r="U9" s="2026"/>
      <c r="V9" s="2026"/>
      <c r="W9" s="2025"/>
      <c r="X9" s="2025">
        <f>ROUND(IF(项目基本情况!B2="出让",SUMPRODUCT(PRODUCT(1+N9:N$40)),SUMPRODUCT(PRODUCT(1+N9:N$39))),4)</f>
        <v>1.6585000000000001</v>
      </c>
      <c r="Y9" s="2025">
        <f>ROUND(IF(项目基本情况!B2="出让",SUMPRODUCT(PRODUCT(1+O9:O$40)),SUMPRODUCT(PRODUCT(1+O9:O$39))),4)</f>
        <v>1.3676999999999999</v>
      </c>
      <c r="Z9" s="2025">
        <f t="shared" ref="Z9" si="55">Y9</f>
        <v>1.3676999999999999</v>
      </c>
      <c r="AA9" s="2025">
        <f>ROUND(IF(项目基本情况!B2="出让",SUMPRODUCT(PRODUCT(1+P9:P$40)),SUMPRODUCT(PRODUCT(1+P9:P$39))),4)</f>
        <v>1.7434000000000001</v>
      </c>
      <c r="AB9" s="2025">
        <f>ROUND(IF(项目基本情况!B2="出让",SUMPRODUCT(PRODUCT(1+Q9:Q$40)),SUMPRODUCT(PRODUCT(1+Q9:Q$39))),4)</f>
        <v>1.4609000000000001</v>
      </c>
      <c r="AC9" s="2025"/>
      <c r="AD9" s="2026">
        <f>ROUND(AVERAGE(I9:I$40)/100,4)</f>
        <v>1.6899999999999998E-2</v>
      </c>
      <c r="AE9" s="2026">
        <f>ROUND(AVERAGE(J9:J$40)/100,4)</f>
        <v>1.06E-2</v>
      </c>
      <c r="AF9" s="2026">
        <f t="shared" ref="AF9" si="56">AE9</f>
        <v>1.06E-2</v>
      </c>
      <c r="AG9" s="2026">
        <f>ROUND(AVERAGE(K9:K$40)/100,4)</f>
        <v>1.8700000000000001E-2</v>
      </c>
      <c r="AH9" s="2026">
        <f>ROUND(AVERAGE(L9:L$40)/100,4)</f>
        <v>1.24E-2</v>
      </c>
    </row>
    <row r="10" spans="1:34" s="2043" customFormat="1">
      <c r="A10" s="2038" t="s">
        <v>2313</v>
      </c>
      <c r="B10" s="2039">
        <f t="shared" ref="B10" si="57">B11*(1+N10)</f>
        <v>504.87072809615569</v>
      </c>
      <c r="C10" s="2039">
        <f t="shared" ref="C10" si="58">C11*(1+O10)</f>
        <v>351.71182348101968</v>
      </c>
      <c r="D10" s="2039">
        <f t="shared" ref="D10" si="59">C10</f>
        <v>351.71182348101968</v>
      </c>
      <c r="E10" s="2039">
        <f t="shared" ref="E10" si="60">E11*(1+P10)</f>
        <v>728.75350858360832</v>
      </c>
      <c r="F10" s="2039">
        <f t="shared" ref="F10" si="61">F11*(1+Q10)</f>
        <v>334.04593931673656</v>
      </c>
      <c r="G10" s="2029">
        <v>2021</v>
      </c>
      <c r="H10" s="2040">
        <v>3</v>
      </c>
      <c r="I10" s="2005">
        <v>0.47</v>
      </c>
      <c r="J10" s="2005">
        <v>0.41</v>
      </c>
      <c r="K10" s="2005">
        <v>0.48</v>
      </c>
      <c r="L10" s="2006">
        <v>0.48</v>
      </c>
      <c r="M10" s="2025"/>
      <c r="N10" s="2041">
        <f t="shared" ref="N10" si="62">I10/100</f>
        <v>4.6999999999999993E-3</v>
      </c>
      <c r="O10" s="2026">
        <f t="shared" ref="O10" si="63">J10/100</f>
        <v>4.0999999999999995E-3</v>
      </c>
      <c r="P10" s="2026">
        <f t="shared" ref="P10" si="64">K10/100</f>
        <v>4.7999999999999996E-3</v>
      </c>
      <c r="Q10" s="2026">
        <f t="shared" ref="Q10" si="65">L10/100</f>
        <v>4.7999999999999996E-3</v>
      </c>
      <c r="R10" s="2042"/>
      <c r="S10" s="2041"/>
      <c r="T10" s="2026"/>
      <c r="U10" s="2026"/>
      <c r="V10" s="2026"/>
      <c r="W10" s="2025"/>
      <c r="X10" s="2025">
        <f>ROUND(IF(项目基本情况!B3="出让",SUMPRODUCT(PRODUCT(1+N10:N$40)),SUMPRODUCT(PRODUCT(1+N10:N$39))),4)</f>
        <v>1.6415999999999999</v>
      </c>
      <c r="Y10" s="2025">
        <f>ROUND(IF(项目基本情况!B3="出让",SUMPRODUCT(PRODUCT(1+O10:O$40)),SUMPRODUCT(PRODUCT(1+O10:O$39))),4)</f>
        <v>1.3644000000000001</v>
      </c>
      <c r="Z10" s="2025">
        <f t="shared" ref="Z10" si="66">Y10</f>
        <v>1.3644000000000001</v>
      </c>
      <c r="AA10" s="2025">
        <f>ROUND(IF(项目基本情况!B3="出让",SUMPRODUCT(PRODUCT(1+P10:P$40)),SUMPRODUCT(PRODUCT(1+P10:P$39))),4)</f>
        <v>1.7232000000000001</v>
      </c>
      <c r="AB10" s="2025">
        <f>ROUND(IF(项目基本情况!B3="出让",SUMPRODUCT(PRODUCT(1+Q10:Q$40)),SUMPRODUCT(PRODUCT(1+Q10:Q$39))),4)</f>
        <v>1.4529000000000001</v>
      </c>
      <c r="AC10" s="2025"/>
      <c r="AD10" s="2026">
        <f>ROUND(AVERAGE(I10:I$40)/100,4)</f>
        <v>1.72E-2</v>
      </c>
      <c r="AE10" s="2026">
        <f>ROUND(AVERAGE(J10:J$40)/100,4)</f>
        <v>1.09E-2</v>
      </c>
      <c r="AF10" s="2026">
        <f t="shared" ref="AF10" si="67">AE10</f>
        <v>1.09E-2</v>
      </c>
      <c r="AG10" s="2026">
        <f>ROUND(AVERAGE(K10:K$40)/100,4)</f>
        <v>1.89E-2</v>
      </c>
      <c r="AH10" s="2026">
        <f>ROUND(AVERAGE(L10:L$40)/100,4)</f>
        <v>1.26E-2</v>
      </c>
    </row>
    <row r="11" spans="1:34" s="2043" customFormat="1">
      <c r="A11" s="2038" t="s">
        <v>2312</v>
      </c>
      <c r="B11" s="2039">
        <f t="shared" ref="B11" si="68">B12*(1+N11)</f>
        <v>502.50893609650217</v>
      </c>
      <c r="C11" s="2039">
        <f t="shared" ref="C11" si="69">C12*(1+O11)</f>
        <v>350.27569313914915</v>
      </c>
      <c r="D11" s="2039">
        <f t="shared" ref="D11" si="70">C11</f>
        <v>350.27569313914915</v>
      </c>
      <c r="E11" s="2039">
        <f t="shared" ref="E11" si="71">E12*(1+P11)</f>
        <v>725.27220201394141</v>
      </c>
      <c r="F11" s="2039">
        <f t="shared" ref="F11" si="72">F12*(1+Q11)</f>
        <v>332.45017846012797</v>
      </c>
      <c r="G11" s="2029">
        <v>2021</v>
      </c>
      <c r="H11" s="2040">
        <v>2</v>
      </c>
      <c r="I11" s="2005">
        <v>0.92</v>
      </c>
      <c r="J11" s="2005">
        <v>0.72</v>
      </c>
      <c r="K11" s="2005">
        <v>0.95</v>
      </c>
      <c r="L11" s="2006">
        <v>1.01</v>
      </c>
      <c r="M11" s="2025"/>
      <c r="N11" s="2041">
        <f t="shared" ref="N11" si="73">I11/100</f>
        <v>9.1999999999999998E-3</v>
      </c>
      <c r="O11" s="2026">
        <f t="shared" ref="O11" si="74">J11/100</f>
        <v>7.1999999999999998E-3</v>
      </c>
      <c r="P11" s="2026">
        <f t="shared" ref="P11" si="75">K11/100</f>
        <v>9.4999999999999998E-3</v>
      </c>
      <c r="Q11" s="2026">
        <f t="shared" ref="Q11" si="76">L11/100</f>
        <v>1.01E-2</v>
      </c>
      <c r="R11" s="2042"/>
      <c r="S11" s="2041"/>
      <c r="T11" s="2026"/>
      <c r="U11" s="2026"/>
      <c r="V11" s="2026"/>
      <c r="W11" s="2025"/>
      <c r="X11" s="2025">
        <f>ROUND(IF(项目基本情况!B4="出让",SUMPRODUCT(PRODUCT(1+N11:N$40)),SUMPRODUCT(PRODUCT(1+N11:N$39))),4)</f>
        <v>1.6338999999999999</v>
      </c>
      <c r="Y11" s="2025">
        <f>ROUND(IF(项目基本情况!B4="出让",SUMPRODUCT(PRODUCT(1+O11:O$40)),SUMPRODUCT(PRODUCT(1+O11:O$39))),4)</f>
        <v>1.3588</v>
      </c>
      <c r="Z11" s="2025">
        <f t="shared" ref="Z11" si="77">Y11</f>
        <v>1.3588</v>
      </c>
      <c r="AA11" s="2025">
        <f>ROUND(IF(项目基本情况!B4="出让",SUMPRODUCT(PRODUCT(1+P11:P$40)),SUMPRODUCT(PRODUCT(1+P11:P$39))),4)</f>
        <v>1.7150000000000001</v>
      </c>
      <c r="AB11" s="2025">
        <f>ROUND(IF(项目基本情况!B4="出让",SUMPRODUCT(PRODUCT(1+Q11:Q$40)),SUMPRODUCT(PRODUCT(1+Q11:Q$39))),4)</f>
        <v>1.446</v>
      </c>
      <c r="AC11" s="2025"/>
      <c r="AD11" s="2026">
        <f>ROUND(AVERAGE(I11:I$40)/100,4)</f>
        <v>1.7600000000000001E-2</v>
      </c>
      <c r="AE11" s="2026">
        <f>ROUND(AVERAGE(J11:J$40)/100,4)</f>
        <v>1.11E-2</v>
      </c>
      <c r="AF11" s="2026">
        <f t="shared" ref="AF11" si="78">AE11</f>
        <v>1.11E-2</v>
      </c>
      <c r="AG11" s="2026">
        <f>ROUND(AVERAGE(K11:K$40)/100,4)</f>
        <v>1.9400000000000001E-2</v>
      </c>
      <c r="AH11" s="2026">
        <f>ROUND(AVERAGE(L11:L$40)/100,4)</f>
        <v>1.2800000000000001E-2</v>
      </c>
    </row>
    <row r="12" spans="1:34" s="2043" customFormat="1">
      <c r="A12" s="2038" t="s">
        <v>2311</v>
      </c>
      <c r="B12" s="2039">
        <f t="shared" ref="B12" si="79">B13*(1+N12)</f>
        <v>497.92799851020823</v>
      </c>
      <c r="C12" s="2039">
        <f t="shared" ref="C12" si="80">C13*(1+O12)</f>
        <v>347.77173663537445</v>
      </c>
      <c r="D12" s="2039">
        <f t="shared" ref="D12" si="81">C12</f>
        <v>347.77173663537445</v>
      </c>
      <c r="E12" s="2039">
        <f t="shared" ref="E12" si="82">E13*(1+P12)</f>
        <v>718.44695593258189</v>
      </c>
      <c r="F12" s="2039">
        <f t="shared" ref="F12" si="83">F13*(1+Q12)</f>
        <v>329.12600580153247</v>
      </c>
      <c r="G12" s="2029">
        <v>2021</v>
      </c>
      <c r="H12" s="2040">
        <v>1</v>
      </c>
      <c r="I12" s="2005">
        <v>0.97</v>
      </c>
      <c r="J12" s="2005">
        <v>0.16</v>
      </c>
      <c r="K12" s="2005">
        <v>1.1100000000000001</v>
      </c>
      <c r="L12" s="2006">
        <v>0.36</v>
      </c>
      <c r="M12" s="2025"/>
      <c r="N12" s="2041">
        <f t="shared" ref="N12" si="84">I12/100</f>
        <v>9.7000000000000003E-3</v>
      </c>
      <c r="O12" s="2026">
        <f t="shared" ref="O12" si="85">J12/100</f>
        <v>1.6000000000000001E-3</v>
      </c>
      <c r="P12" s="2026">
        <f t="shared" ref="P12" si="86">K12/100</f>
        <v>1.11E-2</v>
      </c>
      <c r="Q12" s="2026">
        <f t="shared" ref="Q12" si="87">L12/100</f>
        <v>3.5999999999999999E-3</v>
      </c>
      <c r="R12" s="2042"/>
      <c r="S12" s="2041">
        <f>B12/B13-1</f>
        <v>9.7000000000000419E-3</v>
      </c>
      <c r="T12" s="2026">
        <f t="shared" ref="T12" si="88">C12/C13-1</f>
        <v>1.6000000000000458E-3</v>
      </c>
      <c r="U12" s="2026">
        <f t="shared" ref="U12" si="89">D12/D13-1</f>
        <v>1.6000000000000458E-3</v>
      </c>
      <c r="V12" s="2026">
        <f t="shared" ref="V12" si="90">E12/E13-1</f>
        <v>1.110000000000011E-2</v>
      </c>
      <c r="W12" s="2025"/>
      <c r="X12" s="2025">
        <f>ROUND(IF(项目基本情况!B5="出让",SUMPRODUCT(PRODUCT(1+N12:N$40)),SUMPRODUCT(PRODUCT(1+N12:N$39))),4)</f>
        <v>1.619</v>
      </c>
      <c r="Y12" s="2025">
        <f>ROUND(IF(项目基本情况!B5="出让",SUMPRODUCT(PRODUCT(1+O12:O$40)),SUMPRODUCT(PRODUCT(1+O12:O$39))),4)</f>
        <v>1.3491</v>
      </c>
      <c r="Z12" s="2025">
        <f t="shared" ref="Z12" si="91">Y12</f>
        <v>1.3491</v>
      </c>
      <c r="AA12" s="2025">
        <f>ROUND(IF(项目基本情况!B5="出让",SUMPRODUCT(PRODUCT(1+P12:P$40)),SUMPRODUCT(PRODUCT(1+P12:P$39))),4)</f>
        <v>1.6988000000000001</v>
      </c>
      <c r="AB12" s="2025">
        <f>ROUND(IF(项目基本情况!B5="出让",SUMPRODUCT(PRODUCT(1+Q12:Q$40)),SUMPRODUCT(PRODUCT(1+Q12:Q$39))),4)</f>
        <v>1.4315</v>
      </c>
      <c r="AC12" s="2025"/>
      <c r="AD12" s="2026">
        <f>ROUND(AVERAGE(I12:I$40)/100,4)</f>
        <v>1.7899999999999999E-2</v>
      </c>
      <c r="AE12" s="2026">
        <f>ROUND(AVERAGE(J12:J$40)/100,4)</f>
        <v>1.12E-2</v>
      </c>
      <c r="AF12" s="2026">
        <f t="shared" ref="AF12" si="92">AE12</f>
        <v>1.12E-2</v>
      </c>
      <c r="AG12" s="2026">
        <f>ROUND(AVERAGE(K12:K$40)/100,4)</f>
        <v>1.9699999999999999E-2</v>
      </c>
      <c r="AH12" s="2026">
        <f>ROUND(AVERAGE(L12:L$40)/100,4)</f>
        <v>1.29E-2</v>
      </c>
    </row>
    <row r="13" spans="1:34" s="2043" customFormat="1">
      <c r="A13" s="2038" t="s">
        <v>2308</v>
      </c>
      <c r="B13" s="2039">
        <f t="shared" ref="B13" si="93">B14*(1+N13)</f>
        <v>493.14449689037161</v>
      </c>
      <c r="C13" s="2039">
        <f t="shared" ref="C13" si="94">C14*(1+O13)</f>
        <v>347.21619073020611</v>
      </c>
      <c r="D13" s="2039">
        <f t="shared" ref="D13" si="95">C13</f>
        <v>347.21619073020611</v>
      </c>
      <c r="E13" s="2039">
        <f t="shared" ref="E13" si="96">E14*(1+P13)</f>
        <v>710.55974278763904</v>
      </c>
      <c r="F13" s="2039">
        <f t="shared" ref="F13" si="97">F14*(1+Q13)</f>
        <v>327.94540235306141</v>
      </c>
      <c r="G13" s="2029">
        <v>2020</v>
      </c>
      <c r="H13" s="2040">
        <v>4</v>
      </c>
      <c r="I13" s="2005">
        <v>2.0699999999999998</v>
      </c>
      <c r="J13" s="2005">
        <v>0.37</v>
      </c>
      <c r="K13" s="2005">
        <v>2.35</v>
      </c>
      <c r="L13" s="2006">
        <v>2.69</v>
      </c>
      <c r="M13" s="2025"/>
      <c r="N13" s="2041">
        <f t="shared" ref="N13" si="98">I13/100</f>
        <v>2.07E-2</v>
      </c>
      <c r="O13" s="2026">
        <f t="shared" ref="O13" si="99">J13/100</f>
        <v>3.7000000000000002E-3</v>
      </c>
      <c r="P13" s="2026">
        <f t="shared" ref="P13" si="100">K13/100</f>
        <v>2.35E-2</v>
      </c>
      <c r="Q13" s="2026">
        <f t="shared" ref="Q13" si="101">L13/100</f>
        <v>2.69E-2</v>
      </c>
      <c r="R13" s="2042"/>
      <c r="S13" s="2041"/>
      <c r="T13" s="2026"/>
      <c r="U13" s="2026"/>
      <c r="V13" s="2026"/>
      <c r="W13" s="2025"/>
      <c r="X13" s="2025">
        <f>ROUND(IF(项目基本情况!B6="出让",SUMPRODUCT(PRODUCT(1+N13:N$40)),SUMPRODUCT(PRODUCT(1+N13:N$39))),4)</f>
        <v>1.6034999999999999</v>
      </c>
      <c r="Y13" s="2025">
        <f>ROUND(IF(项目基本情况!B6="出让",SUMPRODUCT(PRODUCT(1+O13:O$40)),SUMPRODUCT(PRODUCT(1+O13:O$39))),4)</f>
        <v>1.3469</v>
      </c>
      <c r="Z13" s="2025">
        <f t="shared" ref="Z13" si="102">Y13</f>
        <v>1.3469</v>
      </c>
      <c r="AA13" s="2025">
        <f>ROUND(IF(项目基本情况!B6="出让",SUMPRODUCT(PRODUCT(1+P13:P$40)),SUMPRODUCT(PRODUCT(1+P13:P$39))),4)</f>
        <v>1.6801999999999999</v>
      </c>
      <c r="AB13" s="2025">
        <f>ROUND(IF(项目基本情况!B6="出让",SUMPRODUCT(PRODUCT(1+Q13:Q$40)),SUMPRODUCT(PRODUCT(1+Q13:Q$39))),4)</f>
        <v>1.4263999999999999</v>
      </c>
      <c r="AC13" s="2025"/>
      <c r="AD13" s="2026">
        <f>ROUND(AVERAGE(I13:I$40)/100,4)</f>
        <v>1.8200000000000001E-2</v>
      </c>
      <c r="AE13" s="2026">
        <f>ROUND(AVERAGE(J13:J$40)/100,4)</f>
        <v>1.1599999999999999E-2</v>
      </c>
      <c r="AF13" s="2026">
        <f t="shared" ref="AF13" si="103">AE13</f>
        <v>1.1599999999999999E-2</v>
      </c>
      <c r="AG13" s="2026">
        <f>ROUND(AVERAGE(K13:K$40)/100,4)</f>
        <v>0.02</v>
      </c>
      <c r="AH13" s="2026">
        <f>ROUND(AVERAGE(L13:L$40)/100,4)</f>
        <v>1.3299999999999999E-2</v>
      </c>
    </row>
    <row r="14" spans="1:34" s="2043" customFormat="1">
      <c r="A14" s="2038" t="s">
        <v>2307</v>
      </c>
      <c r="B14" s="2039">
        <f t="shared" ref="B14" si="104">B15*(1+N14)</f>
        <v>483.1434279321756</v>
      </c>
      <c r="C14" s="2039">
        <f t="shared" ref="C14" si="105">C15*(1+O14)</f>
        <v>345.93622669144776</v>
      </c>
      <c r="D14" s="2039">
        <f t="shared" ref="D14" si="106">C14</f>
        <v>345.93622669144776</v>
      </c>
      <c r="E14" s="2039">
        <f t="shared" ref="E14" si="107">E15*(1+P14)</f>
        <v>694.24498562544113</v>
      </c>
      <c r="F14" s="2039">
        <f t="shared" ref="F14" si="108">F15*(1+Q14)</f>
        <v>319.35475932716082</v>
      </c>
      <c r="G14" s="2029">
        <v>2020</v>
      </c>
      <c r="H14" s="2040">
        <v>3</v>
      </c>
      <c r="I14" s="2005">
        <v>0.36</v>
      </c>
      <c r="J14" s="2005">
        <v>-0.39</v>
      </c>
      <c r="K14" s="2005">
        <v>0.49</v>
      </c>
      <c r="L14" s="2006">
        <v>7.0000000000000007E-2</v>
      </c>
      <c r="M14" s="2025"/>
      <c r="N14" s="2041">
        <f t="shared" ref="N14" si="109">I14/100</f>
        <v>3.5999999999999999E-3</v>
      </c>
      <c r="O14" s="2026">
        <f t="shared" ref="O14" si="110">J14/100</f>
        <v>-3.9000000000000003E-3</v>
      </c>
      <c r="P14" s="2026">
        <f t="shared" ref="P14" si="111">K14/100</f>
        <v>4.8999999999999998E-3</v>
      </c>
      <c r="Q14" s="2026">
        <f t="shared" ref="Q14" si="112">L14/100</f>
        <v>7.000000000000001E-4</v>
      </c>
      <c r="R14" s="2042"/>
      <c r="S14" s="2041"/>
      <c r="T14" s="2026"/>
      <c r="U14" s="2026"/>
      <c r="V14" s="2026"/>
      <c r="W14" s="2025"/>
      <c r="X14" s="2025">
        <f>ROUND(IF(项目基本情况!B7="出让",SUMPRODUCT(PRODUCT(1+N14:N$40)),SUMPRODUCT(PRODUCT(1+N14:N$39))),4)</f>
        <v>1.571</v>
      </c>
      <c r="Y14" s="2025">
        <f>ROUND(IF(项目基本情况!B7="出让",SUMPRODUCT(PRODUCT(1+O14:O$40)),SUMPRODUCT(PRODUCT(1+O14:O$39))),4)</f>
        <v>1.3420000000000001</v>
      </c>
      <c r="Z14" s="2025">
        <f t="shared" ref="Z14" si="113">Y14</f>
        <v>1.3420000000000001</v>
      </c>
      <c r="AA14" s="2025">
        <f>ROUND(IF(项目基本情况!B7="出让",SUMPRODUCT(PRODUCT(1+P14:P$40)),SUMPRODUCT(PRODUCT(1+P14:P$39))),4)</f>
        <v>1.6415999999999999</v>
      </c>
      <c r="AB14" s="2025">
        <f>ROUND(IF(项目基本情况!B7="出让",SUMPRODUCT(PRODUCT(1+Q14:Q$40)),SUMPRODUCT(PRODUCT(1+Q14:Q$39))),4)</f>
        <v>1.389</v>
      </c>
      <c r="AC14" s="2025"/>
      <c r="AD14" s="2026">
        <f>ROUND(AVERAGE(I14:I$40)/100,4)</f>
        <v>1.8100000000000002E-2</v>
      </c>
      <c r="AE14" s="2026">
        <f>ROUND(AVERAGE(J14:J$40)/100,4)</f>
        <v>1.1900000000000001E-2</v>
      </c>
      <c r="AF14" s="2026">
        <f t="shared" ref="AF14" si="114">AE14</f>
        <v>1.1900000000000001E-2</v>
      </c>
      <c r="AG14" s="2026">
        <f>ROUND(AVERAGE(K14:K$40)/100,4)</f>
        <v>1.9900000000000001E-2</v>
      </c>
      <c r="AH14" s="2026">
        <f>ROUND(AVERAGE(L14:L$40)/100,4)</f>
        <v>1.2800000000000001E-2</v>
      </c>
    </row>
    <row r="15" spans="1:34" s="2043" customFormat="1">
      <c r="A15" s="2038" t="s">
        <v>2130</v>
      </c>
      <c r="B15" s="2039">
        <f t="shared" ref="B15" si="115">B16*(1+N15)</f>
        <v>481.4103506697644</v>
      </c>
      <c r="C15" s="2039">
        <f t="shared" ref="C15" si="116">C16*(1+O15)</f>
        <v>347.29066026648707</v>
      </c>
      <c r="D15" s="2039">
        <f t="shared" ref="D15" si="117">C15</f>
        <v>347.29066026648707</v>
      </c>
      <c r="E15" s="2039">
        <f t="shared" ref="E15" si="118">E16*(1+P15)</f>
        <v>690.85977273901995</v>
      </c>
      <c r="F15" s="2039">
        <f t="shared" ref="F15" si="119">F16*(1+Q15)</f>
        <v>319.13136737000184</v>
      </c>
      <c r="G15" s="2029">
        <v>2020</v>
      </c>
      <c r="H15" s="2040">
        <v>2</v>
      </c>
      <c r="I15" s="2005">
        <v>0.31</v>
      </c>
      <c r="J15" s="2005">
        <v>-0.78</v>
      </c>
      <c r="K15" s="2005">
        <v>0.5</v>
      </c>
      <c r="L15" s="2006">
        <v>0.47</v>
      </c>
      <c r="M15" s="2025"/>
      <c r="N15" s="2041">
        <f t="shared" ref="N15" si="120">I15/100</f>
        <v>3.0999999999999999E-3</v>
      </c>
      <c r="O15" s="2026">
        <f t="shared" ref="O15" si="121">J15/100</f>
        <v>-7.8000000000000005E-3</v>
      </c>
      <c r="P15" s="2026">
        <f t="shared" ref="P15" si="122">K15/100</f>
        <v>5.0000000000000001E-3</v>
      </c>
      <c r="Q15" s="2026">
        <f t="shared" ref="Q15" si="123">L15/100</f>
        <v>4.6999999999999993E-3</v>
      </c>
      <c r="R15" s="2042"/>
      <c r="S15" s="2041"/>
      <c r="T15" s="2026"/>
      <c r="U15" s="2026"/>
      <c r="V15" s="2026"/>
      <c r="W15" s="2025"/>
      <c r="X15" s="2025">
        <f>ROUND(IF(项目基本情况!B8="出让",SUMPRODUCT(PRODUCT(1+N15:N$40)),SUMPRODUCT(PRODUCT(1+N15:N$39))),4)</f>
        <v>1.5652999999999999</v>
      </c>
      <c r="Y15" s="2025">
        <f>ROUND(IF(项目基本情况!B8="出让",SUMPRODUCT(PRODUCT(1+O15:O$40)),SUMPRODUCT(PRODUCT(1+O15:O$39))),4)</f>
        <v>1.3472</v>
      </c>
      <c r="Z15" s="2025">
        <f t="shared" ref="Z15" si="124">Y15</f>
        <v>1.3472</v>
      </c>
      <c r="AA15" s="2025">
        <f>ROUND(IF(项目基本情况!B8="出让",SUMPRODUCT(PRODUCT(1+P15:P$40)),SUMPRODUCT(PRODUCT(1+P15:P$39))),4)</f>
        <v>1.6335999999999999</v>
      </c>
      <c r="AB15" s="2025">
        <f>ROUND(IF(项目基本情况!B8="出让",SUMPRODUCT(PRODUCT(1+Q15:Q$40)),SUMPRODUCT(PRODUCT(1+Q15:Q$39))),4)</f>
        <v>1.3880999999999999</v>
      </c>
      <c r="AC15" s="2025"/>
      <c r="AD15" s="2026">
        <f>ROUND(AVERAGE(I15:I$40)/100,4)</f>
        <v>1.8599999999999998E-2</v>
      </c>
      <c r="AE15" s="2026">
        <f>ROUND(AVERAGE(J15:J$40)/100,4)</f>
        <v>1.2500000000000001E-2</v>
      </c>
      <c r="AF15" s="2026">
        <f t="shared" ref="AF15" si="125">AE15</f>
        <v>1.2500000000000001E-2</v>
      </c>
      <c r="AG15" s="2026">
        <f>ROUND(AVERAGE(K15:K$40)/100,4)</f>
        <v>2.0400000000000001E-2</v>
      </c>
      <c r="AH15" s="2026">
        <f>ROUND(AVERAGE(L15:L$40)/100,4)</f>
        <v>1.32E-2</v>
      </c>
    </row>
    <row r="16" spans="1:34" s="2043" customFormat="1">
      <c r="A16" s="2038" t="s">
        <v>2128</v>
      </c>
      <c r="B16" s="2039">
        <f t="shared" ref="B16" si="126">B17*(1+N16)</f>
        <v>479.92259063878413</v>
      </c>
      <c r="C16" s="2039">
        <f t="shared" ref="C16" si="127">C17*(1+O16)</f>
        <v>350.02082268341775</v>
      </c>
      <c r="D16" s="2039">
        <f t="shared" ref="D16" si="128">C16</f>
        <v>350.02082268341775</v>
      </c>
      <c r="E16" s="2039">
        <f t="shared" ref="E16" si="129">E17*(1+P16)</f>
        <v>687.42265944181099</v>
      </c>
      <c r="F16" s="2039">
        <f t="shared" ref="F16" si="130">F17*(1+Q16)</f>
        <v>317.63846657708956</v>
      </c>
      <c r="G16" s="2029">
        <v>2020</v>
      </c>
      <c r="H16" s="2040">
        <v>1</v>
      </c>
      <c r="I16" s="2005">
        <v>0.12</v>
      </c>
      <c r="J16" s="2005">
        <v>-0.4</v>
      </c>
      <c r="K16" s="2005">
        <v>0.21</v>
      </c>
      <c r="L16" s="2006">
        <v>0.27</v>
      </c>
      <c r="M16" s="2025"/>
      <c r="N16" s="2041">
        <f t="shared" ref="N16" si="131">I16/100</f>
        <v>1.1999999999999999E-3</v>
      </c>
      <c r="O16" s="2026">
        <f t="shared" ref="O16" si="132">J16/100</f>
        <v>-4.0000000000000001E-3</v>
      </c>
      <c r="P16" s="2026">
        <f t="shared" ref="P16" si="133">K16/100</f>
        <v>2.0999999999999999E-3</v>
      </c>
      <c r="Q16" s="2026">
        <f t="shared" ref="Q16" si="134">L16/100</f>
        <v>2.7000000000000001E-3</v>
      </c>
      <c r="R16" s="2042"/>
      <c r="S16" s="2041">
        <f>B16/B17-1</f>
        <v>1.2000000000000899E-3</v>
      </c>
      <c r="T16" s="2026">
        <f t="shared" ref="T16" si="135">C16/C17-1</f>
        <v>-4.0000000000000036E-3</v>
      </c>
      <c r="U16" s="2026">
        <f t="shared" ref="U16" si="136">D16/D17-1</f>
        <v>-4.0000000000000036E-3</v>
      </c>
      <c r="V16" s="2026">
        <f t="shared" ref="V16" si="137">E16/E17-1</f>
        <v>2.0999999999999908E-3</v>
      </c>
      <c r="W16" s="2025"/>
      <c r="X16" s="2025">
        <f>ROUND(IF(项目基本情况!B8="出让",SUMPRODUCT(PRODUCT(1+N16:N$40)),SUMPRODUCT(PRODUCT(1+N16:N$39))),4)</f>
        <v>1.5605</v>
      </c>
      <c r="Y16" s="2025">
        <f>ROUND(IF(项目基本情况!B8="出让",SUMPRODUCT(PRODUCT(1+O16:O$40)),SUMPRODUCT(PRODUCT(1+O16:O$39))),4)</f>
        <v>1.3577999999999999</v>
      </c>
      <c r="Z16" s="2025">
        <f t="shared" ref="Z16" si="138">Y16</f>
        <v>1.3577999999999999</v>
      </c>
      <c r="AA16" s="2025">
        <f>ROUND(IF(项目基本情况!B8="出让",SUMPRODUCT(PRODUCT(1+P16:P$40)),SUMPRODUCT(PRODUCT(1+P16:P$39))),4)</f>
        <v>1.6254999999999999</v>
      </c>
      <c r="AB16" s="2025">
        <f>ROUND(IF(项目基本情况!B8="出让",SUMPRODUCT(PRODUCT(1+Q16:Q$40)),SUMPRODUCT(PRODUCT(1+Q16:Q$39))),4)</f>
        <v>1.3815999999999999</v>
      </c>
      <c r="AC16" s="2025"/>
      <c r="AD16" s="2026">
        <f>ROUND(AVERAGE(I16:I$40)/100,4)</f>
        <v>1.9199999999999998E-2</v>
      </c>
      <c r="AE16" s="2026">
        <f>ROUND(AVERAGE(J16:J$40)/100,4)</f>
        <v>1.3299999999999999E-2</v>
      </c>
      <c r="AF16" s="2026">
        <f t="shared" ref="AF16" si="139">AE16</f>
        <v>1.3299999999999999E-2</v>
      </c>
      <c r="AG16" s="2026">
        <f>ROUND(AVERAGE(K16:K$40)/100,4)</f>
        <v>2.1100000000000001E-2</v>
      </c>
      <c r="AH16" s="2026">
        <f>ROUND(AVERAGE(L16:L$40)/100,4)</f>
        <v>1.3599999999999999E-2</v>
      </c>
    </row>
    <row r="17" spans="1:34" s="2043" customFormat="1">
      <c r="A17" s="2038" t="s">
        <v>2127</v>
      </c>
      <c r="B17" s="2039">
        <f t="shared" ref="B17" si="140">B18*(1+N17)</f>
        <v>479.34737379023579</v>
      </c>
      <c r="C17" s="2039">
        <f t="shared" ref="C17" si="141">C18*(1+O17)</f>
        <v>351.4265287986122</v>
      </c>
      <c r="D17" s="2039">
        <f t="shared" ref="D17" si="142">C17</f>
        <v>351.4265287986122</v>
      </c>
      <c r="E17" s="2039">
        <f t="shared" ref="E17" si="143">E18*(1+P17)</f>
        <v>685.98209703803116</v>
      </c>
      <c r="F17" s="2039">
        <f t="shared" ref="F17" si="144">F18*(1+Q17)</f>
        <v>316.78315206651001</v>
      </c>
      <c r="G17" s="2029">
        <v>2019</v>
      </c>
      <c r="H17" s="2040">
        <v>4</v>
      </c>
      <c r="I17" s="2040">
        <v>0.45</v>
      </c>
      <c r="J17" s="2040">
        <v>-0.12</v>
      </c>
      <c r="K17" s="2040">
        <v>0.54</v>
      </c>
      <c r="L17" s="2044">
        <v>0.48</v>
      </c>
      <c r="M17" s="2025"/>
      <c r="N17" s="2041">
        <f t="shared" ref="N17:N22" si="145">I17/100</f>
        <v>4.5000000000000005E-3</v>
      </c>
      <c r="O17" s="2026">
        <f t="shared" ref="O17" si="146">J17/100</f>
        <v>-1.1999999999999999E-3</v>
      </c>
      <c r="P17" s="2026">
        <f t="shared" ref="P17" si="147">K17/100</f>
        <v>5.4000000000000003E-3</v>
      </c>
      <c r="Q17" s="2026">
        <f t="shared" ref="Q17" si="148">L17/100</f>
        <v>4.7999999999999996E-3</v>
      </c>
      <c r="R17" s="2042"/>
      <c r="S17" s="2041"/>
      <c r="T17" s="2026"/>
      <c r="U17" s="2026"/>
      <c r="V17" s="2026"/>
      <c r="W17" s="2025"/>
      <c r="X17" s="2025">
        <f>ROUND(IF(项目基本情况!B8="出让",SUMPRODUCT(PRODUCT(1+N17:N$40)),SUMPRODUCT(PRODUCT(1+N17:N$39))),4)</f>
        <v>1.5586</v>
      </c>
      <c r="Y17" s="2025">
        <f>ROUND(IF(项目基本情况!B8="出让",SUMPRODUCT(PRODUCT(1+O17:O$40)),SUMPRODUCT(PRODUCT(1+O17:O$39))),4)</f>
        <v>1.3633</v>
      </c>
      <c r="Z17" s="2025">
        <f t="shared" ref="Z17" si="149">Y17</f>
        <v>1.3633</v>
      </c>
      <c r="AA17" s="2025">
        <f>ROUND(IF(项目基本情况!B8="出让",SUMPRODUCT(PRODUCT(1+P17:P$40)),SUMPRODUCT(PRODUCT(1+P17:P$39))),4)</f>
        <v>1.6221000000000001</v>
      </c>
      <c r="AB17" s="2025">
        <f>ROUND(IF(项目基本情况!B8="出让",SUMPRODUCT(PRODUCT(1+Q17:Q$40)),SUMPRODUCT(PRODUCT(1+Q17:Q$39))),4)</f>
        <v>1.3777999999999999</v>
      </c>
      <c r="AC17" s="2025"/>
      <c r="AD17" s="2026">
        <f>ROUND(AVERAGE(I17:I$40)/100,4)</f>
        <v>0.02</v>
      </c>
      <c r="AE17" s="2026">
        <f>ROUND(AVERAGE(J17:J$40)/100,4)</f>
        <v>1.4E-2</v>
      </c>
      <c r="AF17" s="2026">
        <f t="shared" ref="AF17" si="150">AE17</f>
        <v>1.4E-2</v>
      </c>
      <c r="AG17" s="2026">
        <f>ROUND(AVERAGE(K17:K$40)/100,4)</f>
        <v>2.1899999999999999E-2</v>
      </c>
      <c r="AH17" s="2026">
        <f>ROUND(AVERAGE(L17:L$40)/100,4)</f>
        <v>1.4E-2</v>
      </c>
    </row>
    <row r="18" spans="1:34" s="2043" customFormat="1" ht="13.5" thickBot="1">
      <c r="A18" s="2038" t="s">
        <v>2126</v>
      </c>
      <c r="B18" s="2039">
        <f t="shared" ref="B18" si="151">B19*(1+N18)</f>
        <v>477.19997390765138</v>
      </c>
      <c r="C18" s="2039">
        <f t="shared" ref="C18" si="152">C19*(1+O18)</f>
        <v>351.84874729536665</v>
      </c>
      <c r="D18" s="2039">
        <f t="shared" ref="D18" si="153">C18</f>
        <v>351.84874729536665</v>
      </c>
      <c r="E18" s="2039">
        <f t="shared" ref="E18" si="154">E19*(1+P18)</f>
        <v>682.29768951465201</v>
      </c>
      <c r="F18" s="2039">
        <f t="shared" ref="F18" si="155">F19*(1+Q18)</f>
        <v>315.26985675409043</v>
      </c>
      <c r="G18" s="2029">
        <v>2019</v>
      </c>
      <c r="H18" s="2040">
        <v>3</v>
      </c>
      <c r="I18" s="2040">
        <v>0.61</v>
      </c>
      <c r="J18" s="2040">
        <v>0.67</v>
      </c>
      <c r="K18" s="2040">
        <v>0.6</v>
      </c>
      <c r="L18" s="2044">
        <v>1.03</v>
      </c>
      <c r="M18" s="2025"/>
      <c r="N18" s="2041">
        <f t="shared" si="145"/>
        <v>6.0999999999999995E-3</v>
      </c>
      <c r="O18" s="2026">
        <f t="shared" ref="O18" si="156">J18/100</f>
        <v>6.7000000000000002E-3</v>
      </c>
      <c r="P18" s="2026">
        <f t="shared" ref="P18" si="157">K18/100</f>
        <v>6.0000000000000001E-3</v>
      </c>
      <c r="Q18" s="2026">
        <f t="shared" ref="Q18" si="158">L18/100</f>
        <v>1.03E-2</v>
      </c>
      <c r="R18" s="2042"/>
      <c r="S18" s="2041"/>
      <c r="T18" s="2026"/>
      <c r="U18" s="2026"/>
      <c r="V18" s="2026"/>
      <c r="W18" s="2025"/>
      <c r="X18" s="2025">
        <f>ROUND(IF(项目基本情况!B8="出让",SUMPRODUCT(PRODUCT(1+N18:N$40)),SUMPRODUCT(PRODUCT(1+N18:N$39))),4)</f>
        <v>1.5516000000000001</v>
      </c>
      <c r="Y18" s="2025">
        <f>ROUND(IF(项目基本情况!B8="出让",SUMPRODUCT(PRODUCT(1+O18:O$40)),SUMPRODUCT(PRODUCT(1+O18:O$39))),4)</f>
        <v>1.3649</v>
      </c>
      <c r="Z18" s="2025">
        <f t="shared" ref="Z18" si="159">Y18</f>
        <v>1.3649</v>
      </c>
      <c r="AA18" s="2025">
        <f>ROUND(IF(项目基本情况!B8="出让",SUMPRODUCT(PRODUCT(1+P18:P$40)),SUMPRODUCT(PRODUCT(1+P18:P$39))),4)</f>
        <v>1.6133999999999999</v>
      </c>
      <c r="AB18" s="2025">
        <f>ROUND(IF(项目基本情况!B8="出让",SUMPRODUCT(PRODUCT(1+Q18:Q$40)),SUMPRODUCT(PRODUCT(1+Q18:Q$39))),4)</f>
        <v>1.3713</v>
      </c>
      <c r="AC18" s="2025"/>
      <c r="AD18" s="2026">
        <f>ROUND(AVERAGE(I18:I$40)/100,4)</f>
        <v>2.07E-2</v>
      </c>
      <c r="AE18" s="2026">
        <f>ROUND(AVERAGE(J18:J$40)/100,4)</f>
        <v>1.47E-2</v>
      </c>
      <c r="AF18" s="2026">
        <f t="shared" ref="AF18" si="160">AE18</f>
        <v>1.47E-2</v>
      </c>
      <c r="AG18" s="2026">
        <f>ROUND(AVERAGE(K18:K$40)/100,4)</f>
        <v>2.2599999999999999E-2</v>
      </c>
      <c r="AH18" s="2026">
        <f>ROUND(AVERAGE(L18:L$40)/100,4)</f>
        <v>1.44E-2</v>
      </c>
    </row>
    <row r="19" spans="1:34" s="2043" customFormat="1">
      <c r="A19" s="2038" t="s">
        <v>2124</v>
      </c>
      <c r="B19" s="2039">
        <f t="shared" ref="B19" si="161">B20*(1+N19)</f>
        <v>474.30670301923408</v>
      </c>
      <c r="C19" s="2039">
        <f t="shared" ref="C19" si="162">C20*(1+O19)</f>
        <v>349.50705005996491</v>
      </c>
      <c r="D19" s="2039">
        <f t="shared" ref="D19" si="163">C19</f>
        <v>349.50705005996491</v>
      </c>
      <c r="E19" s="2039">
        <f t="shared" ref="E19" si="164">E20*(1+P19)</f>
        <v>678.22831959706957</v>
      </c>
      <c r="F19" s="2039">
        <f t="shared" ref="F19" si="165">F20*(1+Q19)</f>
        <v>312.0556832169558</v>
      </c>
      <c r="G19" s="2029">
        <v>2019</v>
      </c>
      <c r="H19" s="2045">
        <v>2</v>
      </c>
      <c r="I19" s="2045">
        <v>1.53</v>
      </c>
      <c r="J19" s="2045">
        <v>1.01</v>
      </c>
      <c r="K19" s="2045">
        <v>1.62</v>
      </c>
      <c r="L19" s="2046">
        <v>1.25</v>
      </c>
      <c r="M19" s="2025"/>
      <c r="N19" s="2041">
        <f t="shared" si="145"/>
        <v>1.5300000000000001E-2</v>
      </c>
      <c r="O19" s="2026">
        <f t="shared" ref="O19" si="166">J19/100</f>
        <v>1.01E-2</v>
      </c>
      <c r="P19" s="2026">
        <f t="shared" ref="P19" si="167">K19/100</f>
        <v>1.6200000000000003E-2</v>
      </c>
      <c r="Q19" s="2026">
        <f t="shared" ref="Q19" si="168">L19/100</f>
        <v>1.2500000000000001E-2</v>
      </c>
      <c r="R19" s="2042"/>
      <c r="S19" s="2041"/>
      <c r="T19" s="2026"/>
      <c r="U19" s="2026"/>
      <c r="V19" s="2026"/>
      <c r="W19" s="2025"/>
      <c r="X19" s="2025">
        <f>ROUND(IF(项目基本情况!B8="出让",SUMPRODUCT(PRODUCT(1+N19:N$40)),SUMPRODUCT(PRODUCT(1+N19:N$39))),4)</f>
        <v>1.5422</v>
      </c>
      <c r="Y19" s="2025">
        <f>ROUND(IF(项目基本情况!B8="出让",SUMPRODUCT(PRODUCT(1+O19:O$40)),SUMPRODUCT(PRODUCT(1+O19:O$39))),4)</f>
        <v>1.3557999999999999</v>
      </c>
      <c r="Z19" s="2025">
        <f t="shared" ref="Z19" si="169">Y19</f>
        <v>1.3557999999999999</v>
      </c>
      <c r="AA19" s="2025">
        <f>ROUND(IF(项目基本情况!B8="出让",SUMPRODUCT(PRODUCT(1+P19:P$40)),SUMPRODUCT(PRODUCT(1+P19:P$39))),4)</f>
        <v>1.6036999999999999</v>
      </c>
      <c r="AB19" s="2025">
        <f>ROUND(IF(项目基本情况!B8="出让",SUMPRODUCT(PRODUCT(1+Q19:Q$40)),SUMPRODUCT(PRODUCT(1+Q19:Q$39))),4)</f>
        <v>1.3573</v>
      </c>
      <c r="AC19" s="2025"/>
      <c r="AD19" s="2026">
        <f>ROUND(AVERAGE(I19:I$40)/100,4)</f>
        <v>2.1299999999999999E-2</v>
      </c>
      <c r="AE19" s="2026">
        <f>ROUND(AVERAGE(J19:J$40)/100,4)</f>
        <v>1.4999999999999999E-2</v>
      </c>
      <c r="AF19" s="2026">
        <f t="shared" ref="AF19" si="170">AE19</f>
        <v>1.4999999999999999E-2</v>
      </c>
      <c r="AG19" s="2026">
        <f>ROUND(AVERAGE(K19:K$40)/100,4)</f>
        <v>2.3300000000000001E-2</v>
      </c>
      <c r="AH19" s="2026">
        <f>ROUND(AVERAGE(L19:L$40)/100,4)</f>
        <v>1.46E-2</v>
      </c>
    </row>
    <row r="20" spans="1:34" s="2043" customFormat="1" ht="13.5" thickBot="1">
      <c r="A20" s="2038" t="s">
        <v>2123</v>
      </c>
      <c r="B20" s="2039">
        <f t="shared" ref="B20" si="171">B21*(1+N20)</f>
        <v>467.15916775261894</v>
      </c>
      <c r="C20" s="2039">
        <f t="shared" ref="C20" si="172">C21*(1+O20)</f>
        <v>346.01232557169084</v>
      </c>
      <c r="D20" s="2039">
        <f t="shared" ref="D20" si="173">C20</f>
        <v>346.01232557169084</v>
      </c>
      <c r="E20" s="2039">
        <f t="shared" ref="E20" si="174">E21*(1+P20)</f>
        <v>667.41617752122568</v>
      </c>
      <c r="F20" s="2039">
        <f t="shared" ref="F20" si="175">F21*(1+Q20)</f>
        <v>308.20314391798104</v>
      </c>
      <c r="G20" s="2029">
        <v>2019</v>
      </c>
      <c r="H20" s="2040">
        <v>1</v>
      </c>
      <c r="I20" s="2040">
        <v>0.6</v>
      </c>
      <c r="J20" s="2040">
        <v>0.37</v>
      </c>
      <c r="K20" s="2040">
        <v>0.63</v>
      </c>
      <c r="L20" s="2044">
        <v>1.1299999999999999</v>
      </c>
      <c r="M20" s="2025"/>
      <c r="N20" s="2041">
        <f t="shared" si="145"/>
        <v>6.0000000000000001E-3</v>
      </c>
      <c r="O20" s="2026">
        <f t="shared" ref="O20" si="176">J20/100</f>
        <v>3.7000000000000002E-3</v>
      </c>
      <c r="P20" s="2026">
        <f t="shared" ref="P20" si="177">K20/100</f>
        <v>6.3E-3</v>
      </c>
      <c r="Q20" s="2026">
        <f t="shared" ref="Q20" si="178">L20/100</f>
        <v>1.1299999999999999E-2</v>
      </c>
      <c r="R20" s="2042"/>
      <c r="S20" s="2041">
        <f>B20/B21-1</f>
        <v>6.0000000000000053E-3</v>
      </c>
      <c r="T20" s="2026">
        <f t="shared" ref="T20" si="179">C20/C21-1</f>
        <v>3.7000000000000366E-3</v>
      </c>
      <c r="U20" s="2026">
        <f t="shared" ref="U20" si="180">D20/D21-1</f>
        <v>3.7000000000000366E-3</v>
      </c>
      <c r="V20" s="2026">
        <f t="shared" ref="V20" si="181">E20/E21-1</f>
        <v>6.2999999999999723E-3</v>
      </c>
      <c r="W20" s="2025"/>
      <c r="X20" s="2025">
        <f>ROUND(IF(项目基本情况!B8="出让",SUMPRODUCT(PRODUCT(1+N20:N$40)),SUMPRODUCT(PRODUCT(1+N20:N$39))),4)</f>
        <v>1.5189999999999999</v>
      </c>
      <c r="Y20" s="2025">
        <f>ROUND(IF(项目基本情况!B8="出让",SUMPRODUCT(PRODUCT(1+O20:O$40)),SUMPRODUCT(PRODUCT(1+O20:O$39))),4)</f>
        <v>1.3423</v>
      </c>
      <c r="Z20" s="2025">
        <f t="shared" ref="Z20" si="182">Y20</f>
        <v>1.3423</v>
      </c>
      <c r="AA20" s="2025">
        <f>ROUND(IF(项目基本情况!B8="出让",SUMPRODUCT(PRODUCT(1+P20:P$40)),SUMPRODUCT(PRODUCT(1+P20:P$39))),4)</f>
        <v>1.5782</v>
      </c>
      <c r="AB20" s="2025">
        <f>ROUND(IF(项目基本情况!B8="出让",SUMPRODUCT(PRODUCT(1+Q20:Q$40)),SUMPRODUCT(PRODUCT(1+Q20:Q$39))),4)</f>
        <v>1.3405</v>
      </c>
      <c r="AC20" s="2025"/>
      <c r="AD20" s="2026">
        <f>ROUND(AVERAGE(I20:I$40)/100,4)</f>
        <v>2.1600000000000001E-2</v>
      </c>
      <c r="AE20" s="2026">
        <f>ROUND(AVERAGE(J20:J$40)/100,4)</f>
        <v>1.5299999999999999E-2</v>
      </c>
      <c r="AF20" s="2026">
        <f t="shared" ref="AF20" si="183">AE20</f>
        <v>1.5299999999999999E-2</v>
      </c>
      <c r="AG20" s="2026">
        <f>ROUND(AVERAGE(K20:K$40)/100,4)</f>
        <v>2.3699999999999999E-2</v>
      </c>
      <c r="AH20" s="2026">
        <f>ROUND(AVERAGE(L20:L$40)/100,4)</f>
        <v>1.47E-2</v>
      </c>
    </row>
    <row r="21" spans="1:34" s="2043" customFormat="1">
      <c r="A21" s="2038" t="s">
        <v>2125</v>
      </c>
      <c r="B21" s="2047">
        <f t="shared" ref="B21" si="184">B22*(1+N21)</f>
        <v>464.37293017158942</v>
      </c>
      <c r="C21" s="2047">
        <f t="shared" ref="C21" si="185">C22*(1+O21)</f>
        <v>344.73679941385956</v>
      </c>
      <c r="D21" s="2047">
        <f t="shared" ref="D21" si="186">C21</f>
        <v>344.73679941385956</v>
      </c>
      <c r="E21" s="2047">
        <f t="shared" ref="E21" si="187">E22*(1+P21)</f>
        <v>663.2377795103107</v>
      </c>
      <c r="F21" s="2048">
        <f t="shared" ref="F21" si="188">F22*(1+Q21)</f>
        <v>304.75936311478398</v>
      </c>
      <c r="G21" s="3508">
        <v>2018</v>
      </c>
      <c r="H21" s="2045">
        <v>4</v>
      </c>
      <c r="I21" s="2045">
        <v>0.96</v>
      </c>
      <c r="J21" s="2045">
        <v>1.03</v>
      </c>
      <c r="K21" s="2045">
        <v>0.92</v>
      </c>
      <c r="L21" s="2046">
        <v>1.29</v>
      </c>
      <c r="M21" s="2025"/>
      <c r="N21" s="2041">
        <f t="shared" si="145"/>
        <v>9.5999999999999992E-3</v>
      </c>
      <c r="O21" s="2026">
        <f t="shared" ref="O21" si="189">J21/100</f>
        <v>1.03E-2</v>
      </c>
      <c r="P21" s="2026">
        <f t="shared" ref="P21" si="190">K21/100</f>
        <v>9.1999999999999998E-3</v>
      </c>
      <c r="Q21" s="2026">
        <f t="shared" ref="Q21" si="191">L21/100</f>
        <v>1.29E-2</v>
      </c>
      <c r="R21" s="2042"/>
      <c r="S21" s="2041"/>
      <c r="T21" s="2026"/>
      <c r="U21" s="2026"/>
      <c r="V21" s="2026"/>
      <c r="W21" s="2025"/>
      <c r="X21" s="2025">
        <f>ROUND(SUMPRODUCT(PRODUCT(1+N21:N$39)),4)</f>
        <v>1.5099</v>
      </c>
      <c r="Y21" s="2025">
        <f>ROUND(SUMPRODUCT(PRODUCT(1+O21:O$39)),4)</f>
        <v>1.3372999999999999</v>
      </c>
      <c r="Z21" s="2025">
        <f t="shared" ref="Z21" si="192">Y21</f>
        <v>1.3372999999999999</v>
      </c>
      <c r="AA21" s="2025">
        <f>ROUND(SUMPRODUCT(PRODUCT(1+P21:P$39)),4)</f>
        <v>1.5683</v>
      </c>
      <c r="AB21" s="2025">
        <f>ROUND(SUMPRODUCT(PRODUCT(1+Q21:Q$39)),4)</f>
        <v>1.3255999999999999</v>
      </c>
      <c r="AC21" s="2025"/>
      <c r="AD21" s="2026">
        <f>ROUND(AVERAGE(I21:I$40)/100,4)</f>
        <v>2.24E-2</v>
      </c>
      <c r="AE21" s="2026">
        <f>ROUND(AVERAGE(J21:J$40)/100,4)</f>
        <v>1.5800000000000002E-2</v>
      </c>
      <c r="AF21" s="2026">
        <f t="shared" ref="AF21" si="193">AE21</f>
        <v>1.5800000000000002E-2</v>
      </c>
      <c r="AG21" s="2026">
        <f>ROUND(AVERAGE(K21:K$40)/100,4)</f>
        <v>2.4500000000000001E-2</v>
      </c>
      <c r="AH21" s="2026">
        <f>ROUND(AVERAGE(L21:L$40)/100,4)</f>
        <v>1.49E-2</v>
      </c>
    </row>
    <row r="22" spans="1:34" s="2043" customFormat="1" ht="14.45" customHeight="1">
      <c r="A22" s="2038" t="s">
        <v>2121</v>
      </c>
      <c r="B22" s="2039">
        <f t="shared" ref="B22" si="194">B23*(1+N22)</f>
        <v>459.95733971036987</v>
      </c>
      <c r="C22" s="2039">
        <f t="shared" ref="C22" si="195">C23*(1+O22)</f>
        <v>341.22221064422405</v>
      </c>
      <c r="D22" s="2039">
        <f t="shared" ref="D22" si="196">C22</f>
        <v>341.22221064422405</v>
      </c>
      <c r="E22" s="2039">
        <f t="shared" ref="E22" si="197">E23*(1+P22)</f>
        <v>657.19161663724799</v>
      </c>
      <c r="F22" s="2039">
        <f t="shared" ref="F22" si="198">F23*(1+Q22)</f>
        <v>300.87803644464805</v>
      </c>
      <c r="G22" s="3508"/>
      <c r="H22" s="2040">
        <v>3</v>
      </c>
      <c r="I22" s="2040">
        <v>1.51</v>
      </c>
      <c r="J22" s="2040">
        <v>1.41</v>
      </c>
      <c r="K22" s="2040">
        <v>1.52</v>
      </c>
      <c r="L22" s="2044">
        <v>1.74</v>
      </c>
      <c r="M22" s="2025"/>
      <c r="N22" s="2041">
        <f t="shared" si="145"/>
        <v>1.5100000000000001E-2</v>
      </c>
      <c r="O22" s="2026">
        <f t="shared" ref="O22" si="199">J22/100</f>
        <v>1.41E-2</v>
      </c>
      <c r="P22" s="2026">
        <f t="shared" ref="P22" si="200">K22/100</f>
        <v>1.52E-2</v>
      </c>
      <c r="Q22" s="2026">
        <f t="shared" ref="Q22" si="201">L22/100</f>
        <v>1.7399999999999999E-2</v>
      </c>
      <c r="R22" s="2042"/>
      <c r="S22" s="2041"/>
      <c r="T22" s="2026"/>
      <c r="U22" s="2026"/>
      <c r="V22" s="2026"/>
      <c r="W22" s="2025"/>
      <c r="X22" s="2025">
        <f>ROUND(SUMPRODUCT(PRODUCT(1+N22:N$39)),4)</f>
        <v>1.4956</v>
      </c>
      <c r="Y22" s="2025">
        <f>ROUND(SUMPRODUCT(PRODUCT(1+O22:O$39)),4)</f>
        <v>1.3237000000000001</v>
      </c>
      <c r="Z22" s="2025">
        <f t="shared" ref="Z22" si="202">Y22</f>
        <v>1.3237000000000001</v>
      </c>
      <c r="AA22" s="2025">
        <f>ROUND(SUMPRODUCT(PRODUCT(1+P22:P$39)),4)</f>
        <v>1.554</v>
      </c>
      <c r="AB22" s="2025">
        <f>ROUND(SUMPRODUCT(PRODUCT(1+Q22:Q$39)),4)</f>
        <v>1.3087</v>
      </c>
      <c r="AC22" s="2025"/>
      <c r="AD22" s="2026">
        <f>ROUND(AVERAGE(I22:I$40)/100,4)</f>
        <v>2.3099999999999999E-2</v>
      </c>
      <c r="AE22" s="2026">
        <f>ROUND(AVERAGE(J22:J$40)/100,4)</f>
        <v>1.61E-2</v>
      </c>
      <c r="AF22" s="2026">
        <f t="shared" ref="AF22" si="203">AE22</f>
        <v>1.61E-2</v>
      </c>
      <c r="AG22" s="2026">
        <f>ROUND(AVERAGE(K22:K$40)/100,4)</f>
        <v>2.53E-2</v>
      </c>
      <c r="AH22" s="2026">
        <f>ROUND(AVERAGE(L22:L$40)/100,4)</f>
        <v>1.4999999999999999E-2</v>
      </c>
    </row>
    <row r="23" spans="1:34" s="2043" customFormat="1" ht="14.45" customHeight="1">
      <c r="A23" s="2038" t="s">
        <v>2120</v>
      </c>
      <c r="B23" s="2039">
        <f t="shared" ref="B23" si="204">B24*(1+N23)</f>
        <v>453.11529869999993</v>
      </c>
      <c r="C23" s="2039">
        <f t="shared" ref="C23" si="205">C24*(1+O23)</f>
        <v>336.47787264000004</v>
      </c>
      <c r="D23" s="2039">
        <f t="shared" ref="D23" si="206">C23</f>
        <v>336.47787264000004</v>
      </c>
      <c r="E23" s="2039">
        <f t="shared" ref="E23" si="207">E24*(1+P23)</f>
        <v>647.35186823999993</v>
      </c>
      <c r="F23" s="2039">
        <f t="shared" ref="F23" si="208">F24*(1+Q23)</f>
        <v>295.73229452000004</v>
      </c>
      <c r="G23" s="3508"/>
      <c r="H23" s="2049">
        <v>2</v>
      </c>
      <c r="I23" s="2049">
        <v>1.49</v>
      </c>
      <c r="J23" s="2049">
        <v>0.96</v>
      </c>
      <c r="K23" s="2049">
        <v>1.58</v>
      </c>
      <c r="L23" s="2050">
        <v>2.44</v>
      </c>
      <c r="M23" s="2025"/>
      <c r="N23" s="2041">
        <f t="shared" ref="N23" si="209">I23/100</f>
        <v>1.49E-2</v>
      </c>
      <c r="O23" s="2026">
        <f t="shared" ref="O23" si="210">J23/100</f>
        <v>9.5999999999999992E-3</v>
      </c>
      <c r="P23" s="2026">
        <f t="shared" ref="P23" si="211">K23/100</f>
        <v>1.5800000000000002E-2</v>
      </c>
      <c r="Q23" s="2026">
        <f t="shared" ref="Q23" si="212">L23/100</f>
        <v>2.4399999999999998E-2</v>
      </c>
      <c r="R23" s="2042"/>
      <c r="S23" s="2041"/>
      <c r="T23" s="2026"/>
      <c r="U23" s="2026"/>
      <c r="V23" s="2026"/>
      <c r="W23" s="2025"/>
      <c r="X23" s="2025">
        <f>ROUND(SUMPRODUCT(PRODUCT(1+N23:N$39)),4)</f>
        <v>1.4733000000000001</v>
      </c>
      <c r="Y23" s="2025">
        <f>ROUND(SUMPRODUCT(PRODUCT(1+O23:O$39)),4)</f>
        <v>1.3052999999999999</v>
      </c>
      <c r="Z23" s="2025">
        <f t="shared" ref="Z23" si="213">Y23</f>
        <v>1.3052999999999999</v>
      </c>
      <c r="AA23" s="2025">
        <f>ROUND(SUMPRODUCT(PRODUCT(1+P23:P$39)),4)</f>
        <v>1.5306999999999999</v>
      </c>
      <c r="AB23" s="2025">
        <f>ROUND(SUMPRODUCT(PRODUCT(1+Q23:Q$39)),4)</f>
        <v>1.2863</v>
      </c>
      <c r="AC23" s="2025"/>
      <c r="AD23" s="2026">
        <f>ROUND(AVERAGE(I23:I$40)/100,4)</f>
        <v>2.35E-2</v>
      </c>
      <c r="AE23" s="2026">
        <f>ROUND(AVERAGE(J23:J$40)/100,4)</f>
        <v>1.6199999999999999E-2</v>
      </c>
      <c r="AF23" s="2026">
        <f t="shared" ref="AF23" si="214">AE23</f>
        <v>1.6199999999999999E-2</v>
      </c>
      <c r="AG23" s="2026">
        <f>ROUND(AVERAGE(K23:K$40)/100,4)</f>
        <v>2.5899999999999999E-2</v>
      </c>
      <c r="AH23" s="2026">
        <f>ROUND(AVERAGE(L23:L$40)/100,4)</f>
        <v>1.49E-2</v>
      </c>
    </row>
    <row r="24" spans="1:34" s="2043" customFormat="1" ht="15" customHeight="1" thickBot="1">
      <c r="A24" s="2038" t="s">
        <v>2113</v>
      </c>
      <c r="B24" s="2039">
        <f t="shared" ref="B24" si="215">B25*(1+N24)</f>
        <v>446.46299999999997</v>
      </c>
      <c r="C24" s="2039">
        <f t="shared" ref="C24" si="216">C25*(1+O24)</f>
        <v>333.27840000000003</v>
      </c>
      <c r="D24" s="2039">
        <f t="shared" ref="D24" si="217">C24</f>
        <v>333.27840000000003</v>
      </c>
      <c r="E24" s="2039">
        <f t="shared" ref="E24" si="218">E25*(1+P24)</f>
        <v>637.28279999999995</v>
      </c>
      <c r="F24" s="2039">
        <f t="shared" ref="F24" si="219">F25*(1+Q24)</f>
        <v>288.68830000000003</v>
      </c>
      <c r="G24" s="3515"/>
      <c r="H24" s="2040">
        <v>1</v>
      </c>
      <c r="I24" s="2040">
        <v>1.7</v>
      </c>
      <c r="J24" s="2040">
        <v>1.92</v>
      </c>
      <c r="K24" s="2040">
        <v>1.64</v>
      </c>
      <c r="L24" s="2044">
        <v>2.0099999999999998</v>
      </c>
      <c r="M24" s="2025"/>
      <c r="N24" s="2041">
        <f t="shared" ref="N24:N29" si="220">I24/100</f>
        <v>1.7000000000000001E-2</v>
      </c>
      <c r="O24" s="2026">
        <f t="shared" ref="O24" si="221">J24/100</f>
        <v>1.9199999999999998E-2</v>
      </c>
      <c r="P24" s="2026">
        <f t="shared" ref="P24" si="222">K24/100</f>
        <v>1.6399999999999998E-2</v>
      </c>
      <c r="Q24" s="2026">
        <f t="shared" ref="Q24" si="223">L24/100</f>
        <v>2.0099999999999996E-2</v>
      </c>
      <c r="R24" s="2042"/>
      <c r="S24" s="2041">
        <f>B24/B25-1</f>
        <v>1.6999999999999904E-2</v>
      </c>
      <c r="T24" s="2026">
        <f t="shared" ref="T24" si="224">C24/C25-1</f>
        <v>1.9200000000000106E-2</v>
      </c>
      <c r="U24" s="2026">
        <f t="shared" ref="U24" si="225">D24/D25-1</f>
        <v>1.9200000000000106E-2</v>
      </c>
      <c r="V24" s="2026">
        <f t="shared" ref="V24" si="226">E24/E25-1</f>
        <v>1.639999999999997E-2</v>
      </c>
      <c r="W24" s="2025"/>
      <c r="X24" s="2025">
        <f>ROUND(SUMPRODUCT(PRODUCT(1+N24:N$39)),4)</f>
        <v>1.4517</v>
      </c>
      <c r="Y24" s="2025">
        <f>ROUND(SUMPRODUCT(PRODUCT(1+O24:O$39)),4)</f>
        <v>1.2928999999999999</v>
      </c>
      <c r="Z24" s="2025">
        <f t="shared" ref="Z24" si="227">Y24</f>
        <v>1.2928999999999999</v>
      </c>
      <c r="AA24" s="2025">
        <f>ROUND(SUMPRODUCT(PRODUCT(1+P24:P$39)),4)</f>
        <v>1.5068999999999999</v>
      </c>
      <c r="AB24" s="2025">
        <f>ROUND(SUMPRODUCT(PRODUCT(1+Q24:Q$39)),4)</f>
        <v>1.2557</v>
      </c>
      <c r="AC24" s="2025"/>
      <c r="AD24" s="2026">
        <f>ROUND(AVERAGE(I24:I$40)/100,4)</f>
        <v>2.4E-2</v>
      </c>
      <c r="AE24" s="2026">
        <f>ROUND(AVERAGE(J24:J$40)/100,4)</f>
        <v>1.66E-2</v>
      </c>
      <c r="AF24" s="2026">
        <f t="shared" ref="AF24" si="228">AE24</f>
        <v>1.66E-2</v>
      </c>
      <c r="AG24" s="2026">
        <f>ROUND(AVERAGE(K24:K$40)/100,4)</f>
        <v>2.6499999999999999E-2</v>
      </c>
      <c r="AH24" s="2026">
        <f>ROUND(AVERAGE(L24:L$40)/100,4)</f>
        <v>1.43E-2</v>
      </c>
    </row>
    <row r="25" spans="1:34">
      <c r="A25" s="2038" t="s">
        <v>2111</v>
      </c>
      <c r="B25" s="2047">
        <v>439</v>
      </c>
      <c r="C25" s="2047">
        <v>327</v>
      </c>
      <c r="D25" s="2047">
        <f>C25</f>
        <v>327</v>
      </c>
      <c r="E25" s="2047">
        <v>627</v>
      </c>
      <c r="F25" s="2048">
        <v>283</v>
      </c>
      <c r="G25" s="3511">
        <v>2017</v>
      </c>
      <c r="H25" s="2045">
        <v>4</v>
      </c>
      <c r="I25" s="2045">
        <v>1.71</v>
      </c>
      <c r="J25" s="2045">
        <v>1.78</v>
      </c>
      <c r="K25" s="2045">
        <v>1.71</v>
      </c>
      <c r="L25" s="2046">
        <v>1.43</v>
      </c>
      <c r="N25" s="2041">
        <f t="shared" si="220"/>
        <v>1.7100000000000001E-2</v>
      </c>
      <c r="O25" s="2026">
        <f t="shared" ref="O25" si="229">J25/100</f>
        <v>1.78E-2</v>
      </c>
      <c r="P25" s="2026">
        <f t="shared" ref="P25" si="230">K25/100</f>
        <v>1.7100000000000001E-2</v>
      </c>
      <c r="Q25" s="2026">
        <f t="shared" ref="Q25" si="231">L25/100</f>
        <v>1.43E-2</v>
      </c>
      <c r="R25" s="2042"/>
      <c r="S25" s="2051"/>
      <c r="T25" s="2052"/>
      <c r="U25" s="2052"/>
      <c r="V25" s="2052"/>
      <c r="X25" s="2025">
        <f>ROUND(SUMPRODUCT(PRODUCT(1+N25:N$39)),4)</f>
        <v>1.4274</v>
      </c>
      <c r="Y25" s="2025">
        <f>ROUND(SUMPRODUCT(PRODUCT(1+O25:O$39)),4)</f>
        <v>1.2685</v>
      </c>
      <c r="Z25" s="2025">
        <f t="shared" si="0"/>
        <v>1.2685</v>
      </c>
      <c r="AA25" s="2025">
        <f>ROUND(SUMPRODUCT(PRODUCT(1+P25:P$39)),4)</f>
        <v>1.4825999999999999</v>
      </c>
      <c r="AB25" s="2025">
        <f>ROUND(SUMPRODUCT(PRODUCT(1+Q25:Q$39)),4)</f>
        <v>1.2309000000000001</v>
      </c>
      <c r="AD25" s="2026">
        <f>ROUND(AVERAGE(I25:I$40)/100,4)</f>
        <v>2.4500000000000001E-2</v>
      </c>
      <c r="AE25" s="2026">
        <f>ROUND(AVERAGE(J25:J$40)/100,4)</f>
        <v>1.6500000000000001E-2</v>
      </c>
      <c r="AF25" s="2026">
        <f t="shared" si="1"/>
        <v>1.6500000000000001E-2</v>
      </c>
      <c r="AG25" s="2026">
        <f>ROUND(AVERAGE(K25:K$40)/100,4)</f>
        <v>2.7099999999999999E-2</v>
      </c>
      <c r="AH25" s="2026">
        <f>ROUND(AVERAGE(L25:L$40)/100,4)</f>
        <v>1.3899999999999999E-2</v>
      </c>
    </row>
    <row r="26" spans="1:34" s="2043" customFormat="1" ht="14.45" customHeight="1">
      <c r="A26" s="2038" t="s">
        <v>2112</v>
      </c>
      <c r="B26" s="2039">
        <f t="shared" ref="B26:B27" si="232">B27*(1+N26)</f>
        <v>431.80730811680002</v>
      </c>
      <c r="C26" s="2039">
        <f t="shared" ref="C26:C27" si="233">C27*(1+O26)</f>
        <v>320.57880516480003</v>
      </c>
      <c r="D26" s="2039">
        <f t="shared" ref="D26:D27" si="234">C26</f>
        <v>320.57880516480003</v>
      </c>
      <c r="E26" s="2039">
        <f t="shared" ref="E26:E27" si="235">E27*(1+P26)</f>
        <v>615.96110553196797</v>
      </c>
      <c r="F26" s="2039">
        <f t="shared" ref="F26:F27" si="236">F27*(1+Q26)</f>
        <v>279.46777300108801</v>
      </c>
      <c r="G26" s="3508"/>
      <c r="H26" s="2040">
        <v>3</v>
      </c>
      <c r="I26" s="2040">
        <v>2.98</v>
      </c>
      <c r="J26" s="2040">
        <v>2.11</v>
      </c>
      <c r="K26" s="2040">
        <v>3.24</v>
      </c>
      <c r="L26" s="2044">
        <v>1.72</v>
      </c>
      <c r="M26" s="2025"/>
      <c r="N26" s="2041">
        <f t="shared" si="220"/>
        <v>2.98E-2</v>
      </c>
      <c r="O26" s="2026">
        <f t="shared" ref="O26" si="237">J26/100</f>
        <v>2.1099999999999997E-2</v>
      </c>
      <c r="P26" s="2026">
        <f t="shared" ref="P26" si="238">K26/100</f>
        <v>3.2400000000000005E-2</v>
      </c>
      <c r="Q26" s="2026">
        <f t="shared" ref="Q26" si="239">L26/100</f>
        <v>1.72E-2</v>
      </c>
      <c r="R26" s="2042"/>
      <c r="S26" s="2041"/>
      <c r="T26" s="2026"/>
      <c r="U26" s="2026"/>
      <c r="V26" s="2026"/>
      <c r="W26" s="2025"/>
      <c r="X26" s="2025">
        <f>ROUND(SUMPRODUCT(PRODUCT(1+N26:N$39)),4)</f>
        <v>1.4034</v>
      </c>
      <c r="Y26" s="2025">
        <f>ROUND(SUMPRODUCT(PRODUCT(1+O26:O$39)),4)</f>
        <v>1.2463</v>
      </c>
      <c r="Z26" s="2025">
        <f t="shared" si="0"/>
        <v>1.2463</v>
      </c>
      <c r="AA26" s="2025">
        <f>ROUND(SUMPRODUCT(PRODUCT(1+P26:P$39)),4)</f>
        <v>1.4577</v>
      </c>
      <c r="AB26" s="2025">
        <f>ROUND(SUMPRODUCT(PRODUCT(1+Q26:Q$39)),4)</f>
        <v>1.2136</v>
      </c>
      <c r="AC26" s="2025"/>
      <c r="AD26" s="2026">
        <f>ROUND(AVERAGE(I26:I$40)/100,4)</f>
        <v>2.4899999999999999E-2</v>
      </c>
      <c r="AE26" s="2026">
        <f>ROUND(AVERAGE(J26:J$40)/100,4)</f>
        <v>1.6400000000000001E-2</v>
      </c>
      <c r="AF26" s="2026">
        <f t="shared" si="1"/>
        <v>1.6400000000000001E-2</v>
      </c>
      <c r="AG26" s="2026">
        <f>ROUND(AVERAGE(K26:K$40)/100,4)</f>
        <v>2.7799999999999998E-2</v>
      </c>
      <c r="AH26" s="2026">
        <f>ROUND(AVERAGE(L26:L$40)/100,4)</f>
        <v>1.3899999999999999E-2</v>
      </c>
    </row>
    <row r="27" spans="1:34" s="2032" customFormat="1" ht="14.45" customHeight="1">
      <c r="A27" s="2038" t="s">
        <v>677</v>
      </c>
      <c r="B27" s="2039">
        <f t="shared" si="232"/>
        <v>419.31181600000002</v>
      </c>
      <c r="C27" s="2039">
        <f t="shared" si="233"/>
        <v>313.95436800000004</v>
      </c>
      <c r="D27" s="2039">
        <f t="shared" si="234"/>
        <v>313.95436800000004</v>
      </c>
      <c r="E27" s="2039">
        <f t="shared" si="235"/>
        <v>596.63028431999999</v>
      </c>
      <c r="F27" s="2039">
        <f t="shared" si="236"/>
        <v>274.74220703999998</v>
      </c>
      <c r="G27" s="3508"/>
      <c r="H27" s="2049">
        <v>2</v>
      </c>
      <c r="I27" s="2049">
        <v>3.4</v>
      </c>
      <c r="J27" s="2049">
        <v>2</v>
      </c>
      <c r="K27" s="2049">
        <v>3.82</v>
      </c>
      <c r="L27" s="2050">
        <v>1.68</v>
      </c>
      <c r="M27" s="2025"/>
      <c r="N27" s="2041">
        <f t="shared" si="220"/>
        <v>3.4000000000000002E-2</v>
      </c>
      <c r="O27" s="2026">
        <f t="shared" ref="O27" si="240">J27/100</f>
        <v>0.02</v>
      </c>
      <c r="P27" s="2026">
        <f t="shared" ref="P27" si="241">K27/100</f>
        <v>3.8199999999999998E-2</v>
      </c>
      <c r="Q27" s="2026">
        <f t="shared" ref="Q27" si="242">L27/100</f>
        <v>1.6799999999999999E-2</v>
      </c>
      <c r="R27" s="2042"/>
      <c r="S27" s="2051"/>
      <c r="T27" s="2052"/>
      <c r="U27" s="2052"/>
      <c r="V27" s="2052"/>
      <c r="W27" s="2007"/>
      <c r="X27" s="2025">
        <f>ROUND(SUMPRODUCT(PRODUCT(1+N27:N$39)),4)</f>
        <v>1.3628</v>
      </c>
      <c r="Y27" s="2025">
        <f>ROUND(SUMPRODUCT(PRODUCT(1+O27:O$39)),4)</f>
        <v>1.2205999999999999</v>
      </c>
      <c r="Z27" s="2025">
        <f t="shared" si="0"/>
        <v>1.2205999999999999</v>
      </c>
      <c r="AA27" s="2025">
        <f>ROUND(SUMPRODUCT(PRODUCT(1+P27:P$39)),4)</f>
        <v>1.4118999999999999</v>
      </c>
      <c r="AB27" s="2025">
        <f>ROUND(SUMPRODUCT(PRODUCT(1+Q27:Q$39)),4)</f>
        <v>1.1930000000000001</v>
      </c>
      <c r="AC27" s="2007"/>
      <c r="AD27" s="2026">
        <f>ROUND(AVERAGE(I27:I$40)/100,4)</f>
        <v>2.46E-2</v>
      </c>
      <c r="AE27" s="2026">
        <f>ROUND(AVERAGE(J27:J$40)/100,4)</f>
        <v>1.6E-2</v>
      </c>
      <c r="AF27" s="2026">
        <f t="shared" si="1"/>
        <v>1.6E-2</v>
      </c>
      <c r="AG27" s="2026">
        <f>ROUND(AVERAGE(K27:K$40)/100,4)</f>
        <v>2.75E-2</v>
      </c>
      <c r="AH27" s="2026">
        <f>ROUND(AVERAGE(L27:L$40)/100,4)</f>
        <v>1.37E-2</v>
      </c>
    </row>
    <row r="28" spans="1:34" s="2043" customFormat="1" ht="15" customHeight="1" thickBot="1">
      <c r="A28" s="2038" t="s">
        <v>463</v>
      </c>
      <c r="B28" s="2039">
        <f>B29*(1+N28)</f>
        <v>405.524</v>
      </c>
      <c r="C28" s="2039">
        <f>C29*(1+O28)</f>
        <v>307.79840000000002</v>
      </c>
      <c r="D28" s="2039">
        <f>C28</f>
        <v>307.79840000000002</v>
      </c>
      <c r="E28" s="2039">
        <f>E29*(1+P28)</f>
        <v>574.67759999999998</v>
      </c>
      <c r="F28" s="2039">
        <f>F29*(1+Q28)</f>
        <v>270.20280000000002</v>
      </c>
      <c r="G28" s="3515"/>
      <c r="H28" s="2040">
        <v>1</v>
      </c>
      <c r="I28" s="2040">
        <v>3.45</v>
      </c>
      <c r="J28" s="2040">
        <v>1.92</v>
      </c>
      <c r="K28" s="2040">
        <v>3.92</v>
      </c>
      <c r="L28" s="2044">
        <v>1.58</v>
      </c>
      <c r="M28" s="2025"/>
      <c r="N28" s="2041">
        <f t="shared" si="220"/>
        <v>3.4500000000000003E-2</v>
      </c>
      <c r="O28" s="2026">
        <f t="shared" ref="O28:Q43" si="243">J28/100</f>
        <v>1.9199999999999998E-2</v>
      </c>
      <c r="P28" s="2026">
        <f t="shared" si="243"/>
        <v>3.9199999999999999E-2</v>
      </c>
      <c r="Q28" s="2026">
        <f t="shared" si="243"/>
        <v>1.5800000000000002E-2</v>
      </c>
      <c r="R28" s="2042"/>
      <c r="S28" s="2041">
        <f>B28/B29-1</f>
        <v>3.4499999999999975E-2</v>
      </c>
      <c r="T28" s="2026">
        <f t="shared" ref="T28:V28" si="244">C28/C29-1</f>
        <v>1.9200000000000106E-2</v>
      </c>
      <c r="U28" s="2026">
        <f t="shared" si="244"/>
        <v>1.9200000000000106E-2</v>
      </c>
      <c r="V28" s="2026">
        <f t="shared" si="244"/>
        <v>3.9199999999999902E-2</v>
      </c>
      <c r="W28" s="2025"/>
      <c r="X28" s="2025">
        <f>ROUND(SUMPRODUCT(PRODUCT(1+N28:N$39)),4)</f>
        <v>1.3180000000000001</v>
      </c>
      <c r="Y28" s="2025">
        <f>ROUND(SUMPRODUCT(PRODUCT(1+O28:O$39)),4)</f>
        <v>1.1966000000000001</v>
      </c>
      <c r="Z28" s="2025">
        <f t="shared" si="0"/>
        <v>1.1966000000000001</v>
      </c>
      <c r="AA28" s="2025">
        <f>ROUND(SUMPRODUCT(PRODUCT(1+P28:P$39)),4)</f>
        <v>1.36</v>
      </c>
      <c r="AB28" s="2025">
        <f>ROUND(SUMPRODUCT(PRODUCT(1+Q28:Q$39)),4)</f>
        <v>1.1733</v>
      </c>
      <c r="AC28" s="2025"/>
      <c r="AD28" s="2026">
        <f>ROUND(AVERAGE(I28:I$40)/100,4)</f>
        <v>2.3900000000000001E-2</v>
      </c>
      <c r="AE28" s="2026">
        <f>ROUND(AVERAGE(J28:J$40)/100,4)</f>
        <v>1.5699999999999999E-2</v>
      </c>
      <c r="AF28" s="2026">
        <f t="shared" si="1"/>
        <v>1.5699999999999999E-2</v>
      </c>
      <c r="AG28" s="2026">
        <f>ROUND(AVERAGE(K28:K$40)/100,4)</f>
        <v>2.6599999999999999E-2</v>
      </c>
      <c r="AH28" s="2026">
        <f>ROUND(AVERAGE(L28:L$40)/100,4)</f>
        <v>1.34E-2</v>
      </c>
    </row>
    <row r="29" spans="1:34">
      <c r="A29" s="2038" t="s">
        <v>127</v>
      </c>
      <c r="B29" s="2047">
        <v>392</v>
      </c>
      <c r="C29" s="2047">
        <v>302</v>
      </c>
      <c r="D29" s="2047">
        <f>C29</f>
        <v>302</v>
      </c>
      <c r="E29" s="2047">
        <v>553</v>
      </c>
      <c r="F29" s="2048">
        <v>266</v>
      </c>
      <c r="G29" s="3511">
        <v>2016</v>
      </c>
      <c r="H29" s="2045">
        <v>4</v>
      </c>
      <c r="I29" s="2045">
        <v>4.5599999999999996</v>
      </c>
      <c r="J29" s="2045">
        <v>2.15</v>
      </c>
      <c r="K29" s="2045">
        <v>5.32</v>
      </c>
      <c r="L29" s="2046">
        <v>1.57</v>
      </c>
      <c r="N29" s="2041">
        <f t="shared" si="220"/>
        <v>4.5599999999999995E-2</v>
      </c>
      <c r="O29" s="2026">
        <f t="shared" si="243"/>
        <v>2.1499999999999998E-2</v>
      </c>
      <c r="P29" s="2026">
        <f t="shared" si="243"/>
        <v>5.3200000000000004E-2</v>
      </c>
      <c r="Q29" s="2026">
        <f t="shared" si="243"/>
        <v>1.5700000000000002E-2</v>
      </c>
      <c r="R29" s="2042"/>
      <c r="S29" s="2051"/>
      <c r="T29" s="2052"/>
      <c r="U29" s="2052"/>
      <c r="V29" s="2052"/>
      <c r="X29" s="2025">
        <f>ROUND(SUMPRODUCT(PRODUCT(1+N29:N$39)),4)</f>
        <v>1.274</v>
      </c>
      <c r="Y29" s="2025">
        <f>ROUND(SUMPRODUCT(PRODUCT(1+O29:O$39)),4)</f>
        <v>1.1740999999999999</v>
      </c>
      <c r="Z29" s="2025">
        <f t="shared" si="0"/>
        <v>1.1740999999999999</v>
      </c>
      <c r="AA29" s="2025">
        <f>ROUND(SUMPRODUCT(PRODUCT(1+P29:P$39)),4)</f>
        <v>1.3087</v>
      </c>
      <c r="AB29" s="2025">
        <f>ROUND(SUMPRODUCT(PRODUCT(1+Q29:Q$39)),4)</f>
        <v>1.1551</v>
      </c>
      <c r="AD29" s="2026">
        <f>ROUND(AVERAGE(I29:I$40)/100,4)</f>
        <v>2.3E-2</v>
      </c>
      <c r="AE29" s="2026">
        <f>ROUND(AVERAGE(J29:J$40)/100,4)</f>
        <v>1.55E-2</v>
      </c>
      <c r="AF29" s="2026">
        <f t="shared" si="1"/>
        <v>1.55E-2</v>
      </c>
      <c r="AG29" s="2026">
        <f>ROUND(AVERAGE(K29:K$40)/100,4)</f>
        <v>2.5600000000000001E-2</v>
      </c>
      <c r="AH29" s="2026">
        <f>ROUND(AVERAGE(L29:L$40)/100,4)</f>
        <v>1.32E-2</v>
      </c>
    </row>
    <row r="30" spans="1:34">
      <c r="A30" s="2038" t="s">
        <v>126</v>
      </c>
      <c r="B30" s="2039">
        <f t="shared" ref="B30:C32" si="245">B29/(1+N29)</f>
        <v>374.90436113236416</v>
      </c>
      <c r="C30" s="2039">
        <f t="shared" si="245"/>
        <v>295.64366128242779</v>
      </c>
      <c r="D30" s="2039">
        <f t="shared" ref="D30:D89" si="246">C30</f>
        <v>295.64366128242779</v>
      </c>
      <c r="E30" s="2039">
        <f t="shared" ref="E30:F32" si="247">E29/(1+P29)</f>
        <v>525.06646410938095</v>
      </c>
      <c r="F30" s="2039">
        <f t="shared" si="247"/>
        <v>261.88835286009646</v>
      </c>
      <c r="G30" s="3508"/>
      <c r="H30" s="2040">
        <v>3</v>
      </c>
      <c r="I30" s="2040">
        <v>4.12</v>
      </c>
      <c r="J30" s="2040">
        <v>2</v>
      </c>
      <c r="K30" s="2040">
        <v>4.79</v>
      </c>
      <c r="L30" s="2044">
        <v>1.97</v>
      </c>
      <c r="N30" s="2041">
        <f t="shared" ref="N30:Q64" si="248">I30/100</f>
        <v>4.1200000000000001E-2</v>
      </c>
      <c r="O30" s="2026">
        <f t="shared" si="243"/>
        <v>0.02</v>
      </c>
      <c r="P30" s="2026">
        <f t="shared" si="243"/>
        <v>4.7899999999999998E-2</v>
      </c>
      <c r="Q30" s="2026">
        <f t="shared" si="243"/>
        <v>1.9699999999999999E-2</v>
      </c>
      <c r="R30" s="2042"/>
      <c r="S30" s="2041"/>
      <c r="T30" s="2026"/>
      <c r="U30" s="2026"/>
      <c r="V30" s="2026"/>
      <c r="X30" s="2025">
        <f>ROUND(SUMPRODUCT(PRODUCT(1+N30:N$39)),4)</f>
        <v>1.2184999999999999</v>
      </c>
      <c r="Y30" s="2025">
        <f>ROUND(SUMPRODUCT(PRODUCT(1+O30:O$39)),4)</f>
        <v>1.1494</v>
      </c>
      <c r="Z30" s="2025">
        <f t="shared" si="0"/>
        <v>1.1494</v>
      </c>
      <c r="AA30" s="2025">
        <f>ROUND(SUMPRODUCT(PRODUCT(1+P30:P$39)),4)</f>
        <v>1.2425999999999999</v>
      </c>
      <c r="AB30" s="2025">
        <f>ROUND(SUMPRODUCT(PRODUCT(1+Q30:Q$39)),4)</f>
        <v>1.1372</v>
      </c>
      <c r="AD30" s="2026">
        <f>ROUND(AVERAGE(I30:I$40)/100,4)</f>
        <v>2.0899999999999998E-2</v>
      </c>
      <c r="AE30" s="2026">
        <f>ROUND(AVERAGE(J30:J$40)/100,4)</f>
        <v>1.49E-2</v>
      </c>
      <c r="AF30" s="2026">
        <f t="shared" si="1"/>
        <v>1.49E-2</v>
      </c>
      <c r="AG30" s="2026">
        <f>ROUND(AVERAGE(K30:K$40)/100,4)</f>
        <v>2.3099999999999999E-2</v>
      </c>
      <c r="AH30" s="2026">
        <f>ROUND(AVERAGE(L30:L$40)/100,4)</f>
        <v>1.2999999999999999E-2</v>
      </c>
    </row>
    <row r="31" spans="1:34">
      <c r="A31" s="2038" t="s">
        <v>116</v>
      </c>
      <c r="B31" s="2039">
        <f t="shared" si="245"/>
        <v>360.06949782209392</v>
      </c>
      <c r="C31" s="2039">
        <f t="shared" si="245"/>
        <v>289.84672674747821</v>
      </c>
      <c r="D31" s="2039">
        <f t="shared" si="246"/>
        <v>289.84672674747821</v>
      </c>
      <c r="E31" s="2039">
        <f t="shared" si="247"/>
        <v>501.06543001181495</v>
      </c>
      <c r="F31" s="2039">
        <f t="shared" si="247"/>
        <v>256.82882500744967</v>
      </c>
      <c r="G31" s="3508"/>
      <c r="H31" s="2049">
        <v>2</v>
      </c>
      <c r="I31" s="2049">
        <v>3.85</v>
      </c>
      <c r="J31" s="2049">
        <v>1.95</v>
      </c>
      <c r="K31" s="2049">
        <v>4.4800000000000004</v>
      </c>
      <c r="L31" s="2050">
        <v>1.41</v>
      </c>
      <c r="N31" s="2041">
        <f t="shared" si="248"/>
        <v>3.85E-2</v>
      </c>
      <c r="O31" s="2026">
        <f t="shared" si="243"/>
        <v>1.95E-2</v>
      </c>
      <c r="P31" s="2026">
        <f t="shared" si="243"/>
        <v>4.4800000000000006E-2</v>
      </c>
      <c r="Q31" s="2026">
        <f t="shared" si="243"/>
        <v>1.41E-2</v>
      </c>
      <c r="R31" s="2042"/>
      <c r="S31" s="2041"/>
      <c r="T31" s="2026"/>
      <c r="U31" s="2026"/>
      <c r="V31" s="2026"/>
      <c r="X31" s="2025">
        <f>ROUND(SUMPRODUCT(PRODUCT(1+N31:N$39)),4)</f>
        <v>1.1702999999999999</v>
      </c>
      <c r="Y31" s="2025">
        <f>ROUND(SUMPRODUCT(PRODUCT(1+O31:O$39)),4)</f>
        <v>1.1269</v>
      </c>
      <c r="Z31" s="2025">
        <f t="shared" si="0"/>
        <v>1.1269</v>
      </c>
      <c r="AA31" s="2025">
        <f>ROUND(SUMPRODUCT(PRODUCT(1+P31:P$39)),4)</f>
        <v>1.1858</v>
      </c>
      <c r="AB31" s="2025">
        <f>ROUND(SUMPRODUCT(PRODUCT(1+Q31:Q$39)),4)</f>
        <v>1.1152</v>
      </c>
      <c r="AD31" s="2026">
        <f>ROUND(AVERAGE(I31:I$40)/100,4)</f>
        <v>1.89E-2</v>
      </c>
      <c r="AE31" s="2026">
        <f>ROUND(AVERAGE(J31:J$40)/100,4)</f>
        <v>1.44E-2</v>
      </c>
      <c r="AF31" s="2026">
        <f t="shared" si="1"/>
        <v>1.44E-2</v>
      </c>
      <c r="AG31" s="2026">
        <f>ROUND(AVERAGE(K31:K$40)/100,4)</f>
        <v>2.06E-2</v>
      </c>
      <c r="AH31" s="2026">
        <f>ROUND(AVERAGE(L31:L$40)/100,4)</f>
        <v>1.23E-2</v>
      </c>
    </row>
    <row r="32" spans="1:34" ht="13.5" thickBot="1">
      <c r="A32" s="2038" t="s">
        <v>125</v>
      </c>
      <c r="B32" s="2039">
        <f t="shared" si="245"/>
        <v>346.720748986128</v>
      </c>
      <c r="C32" s="2039">
        <f t="shared" si="245"/>
        <v>284.30282172386285</v>
      </c>
      <c r="D32" s="2039">
        <f t="shared" si="246"/>
        <v>284.30282172386285</v>
      </c>
      <c r="E32" s="2039">
        <f t="shared" si="247"/>
        <v>479.58023546306947</v>
      </c>
      <c r="F32" s="2039">
        <f t="shared" si="247"/>
        <v>253.25788877571213</v>
      </c>
      <c r="G32" s="3509"/>
      <c r="H32" s="2040">
        <v>1</v>
      </c>
      <c r="I32" s="2040">
        <v>4.09</v>
      </c>
      <c r="J32" s="2040">
        <v>2.93</v>
      </c>
      <c r="K32" s="2040">
        <v>4.54</v>
      </c>
      <c r="L32" s="2044">
        <v>1.48</v>
      </c>
      <c r="N32" s="2041">
        <f t="shared" si="248"/>
        <v>4.0899999999999999E-2</v>
      </c>
      <c r="O32" s="2026">
        <f t="shared" si="243"/>
        <v>2.9300000000000003E-2</v>
      </c>
      <c r="P32" s="2026">
        <f t="shared" si="243"/>
        <v>4.5400000000000003E-2</v>
      </c>
      <c r="Q32" s="2026">
        <f t="shared" si="243"/>
        <v>1.4800000000000001E-2</v>
      </c>
      <c r="R32" s="2042"/>
      <c r="S32" s="2053">
        <f>B32/B33-1</f>
        <v>4.1203450408792808E-2</v>
      </c>
      <c r="T32" s="2054">
        <f>C32/C33-1</f>
        <v>2.6363977342465095E-2</v>
      </c>
      <c r="U32" s="2054">
        <f>E32/E33-1</f>
        <v>4.4837114298626357E-2</v>
      </c>
      <c r="V32" s="2054">
        <f>F32/F33-1</f>
        <v>1.7099954922538574E-2</v>
      </c>
      <c r="X32" s="2025">
        <f>ROUND(SUMPRODUCT(PRODUCT(1+N32:N$39)),4)</f>
        <v>1.1269</v>
      </c>
      <c r="Y32" s="2025">
        <f>ROUND(SUMPRODUCT(PRODUCT(1+O32:O$39)),4)</f>
        <v>1.1052999999999999</v>
      </c>
      <c r="Z32" s="2025">
        <f t="shared" si="0"/>
        <v>1.1052999999999999</v>
      </c>
      <c r="AA32" s="2025">
        <f>ROUND(SUMPRODUCT(PRODUCT(1+P32:P$39)),4)</f>
        <v>1.1349</v>
      </c>
      <c r="AB32" s="2025">
        <f>ROUND(SUMPRODUCT(PRODUCT(1+Q32:Q$39)),4)</f>
        <v>1.0996999999999999</v>
      </c>
      <c r="AD32" s="2026">
        <f>ROUND(AVERAGE(I32:I$40)/100,4)</f>
        <v>1.67E-2</v>
      </c>
      <c r="AE32" s="2026">
        <f>ROUND(AVERAGE(J32:J$40)/100,4)</f>
        <v>1.38E-2</v>
      </c>
      <c r="AF32" s="2026">
        <f t="shared" si="1"/>
        <v>1.38E-2</v>
      </c>
      <c r="AG32" s="2026">
        <f>ROUND(AVERAGE(K32:K$40)/100,4)</f>
        <v>1.7899999999999999E-2</v>
      </c>
      <c r="AH32" s="2026">
        <f>ROUND(AVERAGE(L32:L$40)/100,4)</f>
        <v>1.21E-2</v>
      </c>
    </row>
    <row r="33" spans="1:34" ht="13.5" thickBot="1">
      <c r="A33" s="2038" t="s">
        <v>124</v>
      </c>
      <c r="B33" s="2047">
        <v>333</v>
      </c>
      <c r="C33" s="2047">
        <v>277</v>
      </c>
      <c r="D33" s="2047">
        <f t="shared" si="246"/>
        <v>277</v>
      </c>
      <c r="E33" s="2047">
        <v>459</v>
      </c>
      <c r="F33" s="2048">
        <v>249</v>
      </c>
      <c r="G33" s="3507">
        <v>2015</v>
      </c>
      <c r="H33" s="2055">
        <v>4</v>
      </c>
      <c r="I33" s="2055">
        <v>1.63</v>
      </c>
      <c r="J33" s="2055">
        <v>1.1100000000000001</v>
      </c>
      <c r="K33" s="2055">
        <v>1.77</v>
      </c>
      <c r="L33" s="2056">
        <v>1.89</v>
      </c>
      <c r="N33" s="2057">
        <f t="shared" si="248"/>
        <v>1.6299999999999999E-2</v>
      </c>
      <c r="O33" s="2058">
        <f t="shared" si="243"/>
        <v>1.11E-2</v>
      </c>
      <c r="P33" s="2058">
        <f t="shared" si="243"/>
        <v>1.77E-2</v>
      </c>
      <c r="Q33" s="2058">
        <f t="shared" si="243"/>
        <v>1.89E-2</v>
      </c>
      <c r="R33" s="2042"/>
      <c r="X33" s="2025">
        <f>ROUND(SUMPRODUCT(PRODUCT(1+N33:N$39)),4)</f>
        <v>1.0826</v>
      </c>
      <c r="Y33" s="2025">
        <f>ROUND(SUMPRODUCT(PRODUCT(1+O33:O$39)),4)</f>
        <v>1.0738000000000001</v>
      </c>
      <c r="Z33" s="2025">
        <f t="shared" si="0"/>
        <v>1.0738000000000001</v>
      </c>
      <c r="AA33" s="2025">
        <f>ROUND(SUMPRODUCT(PRODUCT(1+P33:P$39)),4)</f>
        <v>1.0855999999999999</v>
      </c>
      <c r="AB33" s="2025">
        <f>ROUND(SUMPRODUCT(PRODUCT(1+Q33:Q$39)),4)</f>
        <v>1.0837000000000001</v>
      </c>
      <c r="AD33" s="2026">
        <f>ROUND(AVERAGE(I33:I$40)/100,4)</f>
        <v>1.37E-2</v>
      </c>
      <c r="AE33" s="2026">
        <f>ROUND(AVERAGE(J33:J$40)/100,4)</f>
        <v>1.1900000000000001E-2</v>
      </c>
      <c r="AF33" s="2026">
        <f t="shared" si="1"/>
        <v>1.1900000000000001E-2</v>
      </c>
      <c r="AG33" s="2026">
        <f>ROUND(AVERAGE(K33:K$40)/100,4)</f>
        <v>1.4500000000000001E-2</v>
      </c>
      <c r="AH33" s="2026">
        <f>ROUND(AVERAGE(L33:L$40)/100,4)</f>
        <v>1.18E-2</v>
      </c>
    </row>
    <row r="34" spans="1:34">
      <c r="A34" s="2038" t="s">
        <v>123</v>
      </c>
      <c r="B34" s="2039">
        <f t="shared" ref="B34:C36" si="249">B33/(1+N33)</f>
        <v>327.65915576109415</v>
      </c>
      <c r="C34" s="2039">
        <f t="shared" si="249"/>
        <v>273.95905449510434</v>
      </c>
      <c r="D34" s="2039">
        <f t="shared" si="246"/>
        <v>273.95905449510434</v>
      </c>
      <c r="E34" s="2039">
        <f t="shared" ref="E34:F36" si="250">E33/(1+P33)</f>
        <v>451.01699911565294</v>
      </c>
      <c r="F34" s="2039">
        <f t="shared" si="250"/>
        <v>244.38119540681129</v>
      </c>
      <c r="G34" s="3508"/>
      <c r="H34" s="2060">
        <v>3</v>
      </c>
      <c r="I34" s="2060">
        <v>1.65</v>
      </c>
      <c r="J34" s="2060">
        <v>0.92</v>
      </c>
      <c r="K34" s="2060">
        <v>1.88</v>
      </c>
      <c r="L34" s="2061">
        <v>1.26</v>
      </c>
      <c r="N34" s="2041">
        <f t="shared" si="248"/>
        <v>1.6500000000000001E-2</v>
      </c>
      <c r="O34" s="2026">
        <f t="shared" si="243"/>
        <v>9.1999999999999998E-3</v>
      </c>
      <c r="P34" s="2026">
        <f t="shared" si="243"/>
        <v>1.8799999999999997E-2</v>
      </c>
      <c r="Q34" s="2026">
        <f t="shared" si="243"/>
        <v>1.26E-2</v>
      </c>
      <c r="R34" s="2042"/>
      <c r="S34" s="2041"/>
      <c r="T34" s="2026"/>
      <c r="U34" s="2026"/>
      <c r="V34" s="2026"/>
      <c r="X34" s="2025">
        <f>ROUND(SUMPRODUCT(PRODUCT(1+N34:N$39)),4)</f>
        <v>1.0651999999999999</v>
      </c>
      <c r="Y34" s="2025">
        <f>ROUND(SUMPRODUCT(PRODUCT(1+O34:O$39)),4)</f>
        <v>1.0621</v>
      </c>
      <c r="Z34" s="2025">
        <f t="shared" si="0"/>
        <v>1.0621</v>
      </c>
      <c r="AA34" s="2025">
        <f>ROUND(SUMPRODUCT(PRODUCT(1+P34:P$39)),4)</f>
        <v>1.0668</v>
      </c>
      <c r="AB34" s="2025">
        <f>ROUND(SUMPRODUCT(PRODUCT(1+Q34:Q$39)),4)</f>
        <v>1.0636000000000001</v>
      </c>
      <c r="AD34" s="2026">
        <f>ROUND(AVERAGE(I34:I$40)/100,4)</f>
        <v>1.3299999999999999E-2</v>
      </c>
      <c r="AE34" s="2026">
        <f>ROUND(AVERAGE(J34:J$40)/100,4)</f>
        <v>1.2E-2</v>
      </c>
      <c r="AF34" s="2026">
        <f t="shared" si="1"/>
        <v>1.2E-2</v>
      </c>
      <c r="AG34" s="2026">
        <f>ROUND(AVERAGE(K34:K$40)/100,4)</f>
        <v>1.4E-2</v>
      </c>
      <c r="AH34" s="2026">
        <f>ROUND(AVERAGE(L34:L$40)/100,4)</f>
        <v>1.0800000000000001E-2</v>
      </c>
    </row>
    <row r="35" spans="1:34">
      <c r="A35" s="2038" t="s">
        <v>122</v>
      </c>
      <c r="B35" s="2039">
        <f t="shared" si="249"/>
        <v>322.34053690220776</v>
      </c>
      <c r="C35" s="2039">
        <f t="shared" si="249"/>
        <v>271.46160770422546</v>
      </c>
      <c r="D35" s="2039">
        <f t="shared" si="246"/>
        <v>271.46160770422546</v>
      </c>
      <c r="E35" s="2039">
        <f t="shared" si="250"/>
        <v>442.69434542172456</v>
      </c>
      <c r="F35" s="2039">
        <f t="shared" si="250"/>
        <v>241.34030753190925</v>
      </c>
      <c r="G35" s="3508"/>
      <c r="H35" s="2049">
        <v>2</v>
      </c>
      <c r="I35" s="2049">
        <v>0.77</v>
      </c>
      <c r="J35" s="2049">
        <v>0.69</v>
      </c>
      <c r="K35" s="2049">
        <v>0.8</v>
      </c>
      <c r="L35" s="2050">
        <v>0.88</v>
      </c>
      <c r="N35" s="2041">
        <f t="shared" si="248"/>
        <v>7.7000000000000002E-3</v>
      </c>
      <c r="O35" s="2026">
        <f t="shared" si="243"/>
        <v>6.8999999999999999E-3</v>
      </c>
      <c r="P35" s="2026">
        <f t="shared" si="243"/>
        <v>8.0000000000000002E-3</v>
      </c>
      <c r="Q35" s="2026">
        <f t="shared" si="243"/>
        <v>8.8000000000000005E-3</v>
      </c>
      <c r="R35" s="2042"/>
      <c r="S35" s="2041"/>
      <c r="T35" s="2026"/>
      <c r="U35" s="2026"/>
      <c r="V35" s="2026"/>
      <c r="X35" s="2025">
        <f>ROUND(SUMPRODUCT(PRODUCT(1+N35:N$39)),4)</f>
        <v>1.048</v>
      </c>
      <c r="Y35" s="2025">
        <f>ROUND(SUMPRODUCT(PRODUCT(1+O35:O$39)),4)</f>
        <v>1.0524</v>
      </c>
      <c r="Z35" s="2025">
        <f t="shared" si="0"/>
        <v>1.0524</v>
      </c>
      <c r="AA35" s="2025">
        <f>ROUND(SUMPRODUCT(PRODUCT(1+P35:P$39)),4)</f>
        <v>1.0470999999999999</v>
      </c>
      <c r="AB35" s="2025">
        <f>ROUND(SUMPRODUCT(PRODUCT(1+Q35:Q$39)),4)</f>
        <v>1.0504</v>
      </c>
      <c r="AD35" s="2026">
        <f>ROUND(AVERAGE(I35:I$40)/100,4)</f>
        <v>1.2800000000000001E-2</v>
      </c>
      <c r="AE35" s="2026">
        <f>ROUND(AVERAGE(J35:J$40)/100,4)</f>
        <v>1.2500000000000001E-2</v>
      </c>
      <c r="AF35" s="2026">
        <f t="shared" si="1"/>
        <v>1.2500000000000001E-2</v>
      </c>
      <c r="AG35" s="2026">
        <f>ROUND(AVERAGE(K35:K$40)/100,4)</f>
        <v>1.32E-2</v>
      </c>
      <c r="AH35" s="2026">
        <f>ROUND(AVERAGE(L35:L$40)/100,4)</f>
        <v>1.0500000000000001E-2</v>
      </c>
    </row>
    <row r="36" spans="1:34">
      <c r="A36" s="2038" t="s">
        <v>121</v>
      </c>
      <c r="B36" s="2039">
        <f t="shared" si="249"/>
        <v>319.87748030386797</v>
      </c>
      <c r="C36" s="2039">
        <f t="shared" si="249"/>
        <v>269.60135833173649</v>
      </c>
      <c r="D36" s="2039">
        <f t="shared" si="246"/>
        <v>269.60135833173649</v>
      </c>
      <c r="E36" s="2039">
        <f t="shared" si="250"/>
        <v>439.18089823583784</v>
      </c>
      <c r="F36" s="2039">
        <f t="shared" si="250"/>
        <v>239.23503918706311</v>
      </c>
      <c r="G36" s="3509"/>
      <c r="H36" s="2040">
        <v>1</v>
      </c>
      <c r="I36" s="2040">
        <v>0.51</v>
      </c>
      <c r="J36" s="2040">
        <v>0.54</v>
      </c>
      <c r="K36" s="2040">
        <v>0.48</v>
      </c>
      <c r="L36" s="2044">
        <v>0.93</v>
      </c>
      <c r="N36" s="2053">
        <f t="shared" si="248"/>
        <v>5.1000000000000004E-3</v>
      </c>
      <c r="O36" s="2054">
        <f t="shared" si="243"/>
        <v>5.4000000000000003E-3</v>
      </c>
      <c r="P36" s="2054">
        <f t="shared" si="243"/>
        <v>4.7999999999999996E-3</v>
      </c>
      <c r="Q36" s="2054">
        <f t="shared" si="243"/>
        <v>9.300000000000001E-3</v>
      </c>
      <c r="R36" s="2042"/>
      <c r="S36" s="2053">
        <f>B36/B37-1</f>
        <v>5.9040261127922822E-3</v>
      </c>
      <c r="T36" s="2054">
        <f>C36/C37-1</f>
        <v>5.9752176557332781E-3</v>
      </c>
      <c r="U36" s="2054">
        <f>E36/E37-1</f>
        <v>4.9906138119859556E-3</v>
      </c>
      <c r="V36" s="2054">
        <f>F36/F37-1</f>
        <v>9.4305450930933787E-3</v>
      </c>
      <c r="X36" s="2025">
        <f>ROUND(SUMPRODUCT(PRODUCT(1+N36:N$39)),4)</f>
        <v>1.0399</v>
      </c>
      <c r="Y36" s="2025">
        <f>ROUND(SUMPRODUCT(PRODUCT(1+O36:O$39)),4)</f>
        <v>1.0451999999999999</v>
      </c>
      <c r="Z36" s="2025">
        <f t="shared" si="0"/>
        <v>1.0451999999999999</v>
      </c>
      <c r="AA36" s="2025">
        <f>ROUND(SUMPRODUCT(PRODUCT(1+P36:P$39)),4)</f>
        <v>1.0387999999999999</v>
      </c>
      <c r="AB36" s="2025">
        <f>ROUND(SUMPRODUCT(PRODUCT(1+Q36:Q$39)),4)</f>
        <v>1.0411999999999999</v>
      </c>
      <c r="AD36" s="2026">
        <f>ROUND(AVERAGE(I36:I$40)/100,4)</f>
        <v>1.38E-2</v>
      </c>
      <c r="AE36" s="2026">
        <f>ROUND(AVERAGE(J36:J$40)/100,4)</f>
        <v>1.3599999999999999E-2</v>
      </c>
      <c r="AF36" s="2026">
        <f t="shared" si="1"/>
        <v>1.3599999999999999E-2</v>
      </c>
      <c r="AG36" s="2026">
        <f>ROUND(AVERAGE(K36:K$40)/100,4)</f>
        <v>1.4200000000000001E-2</v>
      </c>
      <c r="AH36" s="2026">
        <f>ROUND(AVERAGE(L36:L$40)/100,4)</f>
        <v>1.0800000000000001E-2</v>
      </c>
    </row>
    <row r="37" spans="1:34" ht="13.5" thickBot="1">
      <c r="A37" s="2038" t="s">
        <v>120</v>
      </c>
      <c r="B37" s="2062">
        <v>318</v>
      </c>
      <c r="C37" s="2062">
        <v>268</v>
      </c>
      <c r="D37" s="2062">
        <f t="shared" si="246"/>
        <v>268</v>
      </c>
      <c r="E37" s="2062">
        <v>437</v>
      </c>
      <c r="F37" s="2063">
        <v>237</v>
      </c>
      <c r="G37" s="3507">
        <v>2014</v>
      </c>
      <c r="H37" s="2055">
        <v>4</v>
      </c>
      <c r="I37" s="2055">
        <v>0.21</v>
      </c>
      <c r="J37" s="2055">
        <v>0.41</v>
      </c>
      <c r="K37" s="2055">
        <v>0.12</v>
      </c>
      <c r="L37" s="2056">
        <v>0.89</v>
      </c>
      <c r="N37" s="2041">
        <f t="shared" si="248"/>
        <v>2.0999999999999999E-3</v>
      </c>
      <c r="O37" s="2026">
        <f t="shared" si="243"/>
        <v>4.0999999999999995E-3</v>
      </c>
      <c r="P37" s="2026">
        <f t="shared" si="243"/>
        <v>1.1999999999999999E-3</v>
      </c>
      <c r="Q37" s="2026">
        <f t="shared" si="243"/>
        <v>8.8999999999999999E-3</v>
      </c>
      <c r="R37" s="2042"/>
      <c r="S37" s="2051"/>
      <c r="T37" s="2052"/>
      <c r="U37" s="2052"/>
      <c r="V37" s="2052"/>
      <c r="X37" s="2025">
        <f>ROUND(SUMPRODUCT(PRODUCT(1+N37:N$39)),4)</f>
        <v>1.0347</v>
      </c>
      <c r="Y37" s="2025">
        <f>ROUND(SUMPRODUCT(PRODUCT(1+O37:O$39)),4)</f>
        <v>1.0395000000000001</v>
      </c>
      <c r="Z37" s="2025">
        <f t="shared" si="0"/>
        <v>1.0395000000000001</v>
      </c>
      <c r="AA37" s="2025">
        <f>ROUND(SUMPRODUCT(PRODUCT(1+P37:P$39)),4)</f>
        <v>1.0338000000000001</v>
      </c>
      <c r="AB37" s="2025">
        <f>ROUND(SUMPRODUCT(PRODUCT(1+Q37:Q$39)),4)</f>
        <v>1.0316000000000001</v>
      </c>
      <c r="AD37" s="2026">
        <f>ROUND(AVERAGE(I37:I$40)/100,4)</f>
        <v>1.6E-2</v>
      </c>
      <c r="AE37" s="2026">
        <f>ROUND(AVERAGE(J37:J$40)/100,4)</f>
        <v>1.5599999999999999E-2</v>
      </c>
      <c r="AF37" s="2026">
        <f t="shared" si="1"/>
        <v>1.5599999999999999E-2</v>
      </c>
      <c r="AG37" s="2026">
        <f>ROUND(AVERAGE(K37:K$40)/100,4)</f>
        <v>1.66E-2</v>
      </c>
      <c r="AH37" s="2026">
        <f>ROUND(AVERAGE(L37:L$40)/100,4)</f>
        <v>1.12E-2</v>
      </c>
    </row>
    <row r="38" spans="1:34">
      <c r="A38" s="2038" t="s">
        <v>119</v>
      </c>
      <c r="B38" s="2039">
        <f t="shared" ref="B38:C40" si="251">B37/(1+N37)</f>
        <v>317.33359944117353</v>
      </c>
      <c r="C38" s="2039">
        <f t="shared" si="251"/>
        <v>266.90568668459315</v>
      </c>
      <c r="D38" s="2039">
        <f t="shared" si="246"/>
        <v>266.90568668459315</v>
      </c>
      <c r="E38" s="2039">
        <f t="shared" ref="E38:F40" si="252">E37/(1+P37)</f>
        <v>436.47622852576905</v>
      </c>
      <c r="F38" s="2039">
        <f t="shared" si="252"/>
        <v>234.90930716622066</v>
      </c>
      <c r="G38" s="3508"/>
      <c r="H38" s="2064">
        <v>3</v>
      </c>
      <c r="I38" s="2064">
        <v>0.83</v>
      </c>
      <c r="J38" s="2064">
        <v>1.47</v>
      </c>
      <c r="K38" s="2064">
        <v>0.65</v>
      </c>
      <c r="L38" s="2065">
        <v>0.72</v>
      </c>
      <c r="N38" s="2041">
        <f t="shared" si="248"/>
        <v>8.3000000000000001E-3</v>
      </c>
      <c r="O38" s="2026">
        <f t="shared" si="243"/>
        <v>1.47E-2</v>
      </c>
      <c r="P38" s="2026">
        <f t="shared" si="243"/>
        <v>6.5000000000000006E-3</v>
      </c>
      <c r="Q38" s="2026">
        <f t="shared" si="243"/>
        <v>7.1999999999999998E-3</v>
      </c>
      <c r="R38" s="2042"/>
      <c r="S38" s="2041"/>
      <c r="T38" s="2026"/>
      <c r="U38" s="2026"/>
      <c r="V38" s="2026"/>
      <c r="X38" s="2025">
        <f>ROUND(SUMPRODUCT(PRODUCT(1+N38:N$39)),4)</f>
        <v>1.0325</v>
      </c>
      <c r="Y38" s="2025">
        <f>ROUND(SUMPRODUCT(PRODUCT(1+O38:O$39)),4)</f>
        <v>1.0353000000000001</v>
      </c>
      <c r="Z38" s="2025">
        <f t="shared" ref="Z38:Z39" si="253">Y38</f>
        <v>1.0353000000000001</v>
      </c>
      <c r="AA38" s="2025">
        <f>ROUND(SUMPRODUCT(PRODUCT(1+P38:P$39)),4)</f>
        <v>1.0326</v>
      </c>
      <c r="AB38" s="2025">
        <f>ROUND(SUMPRODUCT(PRODUCT(1+Q38:Q$39)),4)</f>
        <v>1.0225</v>
      </c>
      <c r="AD38" s="2026">
        <f>ROUND(AVERAGE(I38:I$40)/100,4)</f>
        <v>2.07E-2</v>
      </c>
      <c r="AE38" s="2026">
        <f>ROUND(AVERAGE(J38:J$40)/100,4)</f>
        <v>1.95E-2</v>
      </c>
      <c r="AF38" s="2026">
        <f t="shared" si="1"/>
        <v>1.95E-2</v>
      </c>
      <c r="AG38" s="2026">
        <f>ROUND(AVERAGE(K38:K$40)/100,4)</f>
        <v>2.1700000000000001E-2</v>
      </c>
      <c r="AH38" s="2026">
        <f>ROUND(AVERAGE(L38:L$40)/100,4)</f>
        <v>1.2E-2</v>
      </c>
    </row>
    <row r="39" spans="1:34" ht="13.5" thickBot="1">
      <c r="A39" s="2038" t="s">
        <v>118</v>
      </c>
      <c r="B39" s="2039">
        <f t="shared" si="251"/>
        <v>314.72141172386546</v>
      </c>
      <c r="C39" s="2039">
        <f t="shared" si="251"/>
        <v>263.03901319069001</v>
      </c>
      <c r="D39" s="2039">
        <f t="shared" si="246"/>
        <v>263.03901319069001</v>
      </c>
      <c r="E39" s="2039">
        <f t="shared" si="252"/>
        <v>433.65745506782821</v>
      </c>
      <c r="F39" s="2039">
        <f t="shared" si="252"/>
        <v>233.23005080045735</v>
      </c>
      <c r="G39" s="3508"/>
      <c r="H39" s="2055">
        <v>2</v>
      </c>
      <c r="I39" s="2055">
        <v>2.4</v>
      </c>
      <c r="J39" s="2055">
        <v>2.0299999999999998</v>
      </c>
      <c r="K39" s="2055">
        <v>2.59</v>
      </c>
      <c r="L39" s="2056">
        <v>1.52</v>
      </c>
      <c r="N39" s="2041">
        <f t="shared" si="248"/>
        <v>2.4E-2</v>
      </c>
      <c r="O39" s="2026">
        <f t="shared" si="243"/>
        <v>2.0299999999999999E-2</v>
      </c>
      <c r="P39" s="2026">
        <f t="shared" si="243"/>
        <v>2.5899999999999999E-2</v>
      </c>
      <c r="Q39" s="2026">
        <f t="shared" si="243"/>
        <v>1.52E-2</v>
      </c>
      <c r="R39" s="2042"/>
      <c r="S39" s="2041"/>
      <c r="T39" s="2026"/>
      <c r="U39" s="2026"/>
      <c r="V39" s="2026"/>
      <c r="X39" s="2025">
        <f>1+N39</f>
        <v>1.024</v>
      </c>
      <c r="Y39" s="2025">
        <f>1+O39</f>
        <v>1.0203</v>
      </c>
      <c r="Z39" s="2025">
        <f t="shared" si="253"/>
        <v>1.0203</v>
      </c>
      <c r="AA39" s="2025">
        <f>1+P39</f>
        <v>1.0259</v>
      </c>
      <c r="AB39" s="2025">
        <f>1+Q39</f>
        <v>1.0152000000000001</v>
      </c>
      <c r="AD39" s="2026">
        <f>ROUND(AVERAGE(I39:I$40)/100,4)</f>
        <v>2.69E-2</v>
      </c>
      <c r="AE39" s="2026">
        <f>ROUND(AVERAGE(J39:J$40)/100,4)</f>
        <v>2.1899999999999999E-2</v>
      </c>
      <c r="AF39" s="2026">
        <f t="shared" ref="AF39" si="254">AE39</f>
        <v>2.1899999999999999E-2</v>
      </c>
      <c r="AG39" s="2026">
        <f>ROUND(AVERAGE(K39:K$40)/100,4)</f>
        <v>2.9399999999999999E-2</v>
      </c>
      <c r="AH39" s="2026">
        <f>ROUND(AVERAGE(L39:L$40)/100,4)</f>
        <v>1.44E-2</v>
      </c>
    </row>
    <row r="40" spans="1:34" s="2070" customFormat="1" ht="13.5" thickBot="1">
      <c r="A40" s="2066" t="s">
        <v>117</v>
      </c>
      <c r="B40" s="2067">
        <f t="shared" si="251"/>
        <v>307.34512863658733</v>
      </c>
      <c r="C40" s="2067">
        <f t="shared" si="251"/>
        <v>257.80556031626975</v>
      </c>
      <c r="D40" s="2067">
        <f t="shared" si="246"/>
        <v>257.80556031626975</v>
      </c>
      <c r="E40" s="2067">
        <f t="shared" si="252"/>
        <v>422.70928459677179</v>
      </c>
      <c r="F40" s="2067">
        <f t="shared" si="252"/>
        <v>229.73803270336617</v>
      </c>
      <c r="G40" s="3509"/>
      <c r="H40" s="2068">
        <v>1</v>
      </c>
      <c r="I40" s="2068">
        <v>2.97</v>
      </c>
      <c r="J40" s="2068">
        <v>2.34</v>
      </c>
      <c r="K40" s="2068">
        <v>3.28</v>
      </c>
      <c r="L40" s="2069">
        <v>1.36</v>
      </c>
      <c r="N40" s="2071">
        <f t="shared" si="248"/>
        <v>2.9700000000000001E-2</v>
      </c>
      <c r="O40" s="2072">
        <f t="shared" si="243"/>
        <v>2.3399999999999997E-2</v>
      </c>
      <c r="P40" s="2072">
        <f t="shared" si="243"/>
        <v>3.2799999999999996E-2</v>
      </c>
      <c r="Q40" s="2072">
        <f t="shared" si="243"/>
        <v>1.3600000000000001E-2</v>
      </c>
      <c r="R40" s="2073"/>
      <c r="S40" s="2074">
        <f>B40/B41-1</f>
        <v>2.7910129219355539E-2</v>
      </c>
      <c r="T40" s="2075">
        <f>C40/C41-1</f>
        <v>2.3037937762975247E-2</v>
      </c>
      <c r="U40" s="2075">
        <f>E40/E41-1</f>
        <v>3.3519033243940788E-2</v>
      </c>
      <c r="V40" s="2075">
        <f>F40/F41-1</f>
        <v>1.2061818076502862E-2</v>
      </c>
      <c r="W40" s="2076" t="s">
        <v>464</v>
      </c>
      <c r="X40" s="2070">
        <v>1</v>
      </c>
      <c r="Y40" s="2070">
        <v>1</v>
      </c>
      <c r="Z40" s="2070">
        <v>1</v>
      </c>
      <c r="AA40" s="2070">
        <v>1</v>
      </c>
      <c r="AB40" s="2070">
        <v>1</v>
      </c>
      <c r="AD40" s="2072">
        <f>I40/100</f>
        <v>2.9700000000000001E-2</v>
      </c>
      <c r="AE40" s="2072">
        <f>J40/100</f>
        <v>2.3399999999999997E-2</v>
      </c>
      <c r="AF40" s="2072">
        <f>AE40</f>
        <v>2.3399999999999997E-2</v>
      </c>
      <c r="AG40" s="2072">
        <f>K40/100</f>
        <v>3.2799999999999996E-2</v>
      </c>
      <c r="AH40" s="2072">
        <f>L40/100</f>
        <v>1.3600000000000001E-2</v>
      </c>
    </row>
    <row r="41" spans="1:34" ht="13.5" thickBot="1">
      <c r="A41" s="2038" t="s">
        <v>465</v>
      </c>
      <c r="B41" s="2047">
        <v>299</v>
      </c>
      <c r="C41" s="2047">
        <v>252</v>
      </c>
      <c r="D41" s="2047">
        <f t="shared" si="246"/>
        <v>252</v>
      </c>
      <c r="E41" s="2047">
        <v>409</v>
      </c>
      <c r="F41" s="2048">
        <v>227</v>
      </c>
      <c r="G41" s="3512">
        <v>2013</v>
      </c>
      <c r="H41" s="2077">
        <v>4</v>
      </c>
      <c r="I41" s="2077">
        <v>1.83</v>
      </c>
      <c r="J41" s="2077">
        <v>1.68</v>
      </c>
      <c r="K41" s="2077">
        <v>1.97</v>
      </c>
      <c r="L41" s="2078">
        <v>0.87</v>
      </c>
      <c r="N41" s="2057">
        <f t="shared" si="248"/>
        <v>1.83E-2</v>
      </c>
      <c r="O41" s="2058">
        <f t="shared" si="243"/>
        <v>1.6799999999999999E-2</v>
      </c>
      <c r="P41" s="2058">
        <f t="shared" si="243"/>
        <v>1.9699999999999999E-2</v>
      </c>
      <c r="Q41" s="2058">
        <f t="shared" si="243"/>
        <v>8.6999999999999994E-3</v>
      </c>
      <c r="R41" s="2042"/>
      <c r="S41" s="2051"/>
      <c r="T41" s="2052"/>
      <c r="U41" s="2052"/>
      <c r="V41" s="2052"/>
      <c r="X41" s="2052"/>
      <c r="Y41" s="2052"/>
      <c r="Z41" s="2052"/>
    </row>
    <row r="42" spans="1:34">
      <c r="A42" s="2038" t="s">
        <v>466</v>
      </c>
      <c r="B42" s="2039">
        <f t="shared" ref="B42:C44" si="255">B41/(1+N41)</f>
        <v>293.62663262299913</v>
      </c>
      <c r="C42" s="2039">
        <f t="shared" si="255"/>
        <v>247.83634933123525</v>
      </c>
      <c r="D42" s="2039">
        <f t="shared" si="246"/>
        <v>247.83634933123525</v>
      </c>
      <c r="E42" s="2039">
        <f t="shared" ref="E42:F44" si="256">E41/(1+P41)</f>
        <v>401.09836226341076</v>
      </c>
      <c r="F42" s="2039">
        <f t="shared" si="256"/>
        <v>225.04213343908003</v>
      </c>
      <c r="G42" s="3513"/>
      <c r="H42" s="2060">
        <v>3</v>
      </c>
      <c r="I42" s="2060">
        <v>1.86</v>
      </c>
      <c r="J42" s="2060">
        <v>1.72</v>
      </c>
      <c r="K42" s="2060">
        <v>1.98</v>
      </c>
      <c r="L42" s="2061">
        <v>0.88</v>
      </c>
      <c r="N42" s="2041">
        <f t="shared" si="248"/>
        <v>1.8600000000000002E-2</v>
      </c>
      <c r="O42" s="2026">
        <f t="shared" si="243"/>
        <v>1.72E-2</v>
      </c>
      <c r="P42" s="2026">
        <f t="shared" si="243"/>
        <v>1.9799999999999998E-2</v>
      </c>
      <c r="Q42" s="2026">
        <f t="shared" si="243"/>
        <v>8.8000000000000005E-3</v>
      </c>
      <c r="R42" s="2042"/>
      <c r="S42" s="2041"/>
      <c r="T42" s="2026"/>
      <c r="U42" s="2026"/>
      <c r="V42" s="2026"/>
    </row>
    <row r="43" spans="1:34">
      <c r="A43" s="2038" t="s">
        <v>467</v>
      </c>
      <c r="B43" s="2039">
        <f t="shared" si="255"/>
        <v>288.2649053828776</v>
      </c>
      <c r="C43" s="2039">
        <f t="shared" si="255"/>
        <v>243.64564425013293</v>
      </c>
      <c r="D43" s="2039">
        <f t="shared" si="246"/>
        <v>243.64564425013293</v>
      </c>
      <c r="E43" s="2039">
        <f t="shared" si="256"/>
        <v>393.31080825986544</v>
      </c>
      <c r="F43" s="2039">
        <f t="shared" si="256"/>
        <v>223.07903790551154</v>
      </c>
      <c r="G43" s="3513"/>
      <c r="H43" s="2049">
        <v>2</v>
      </c>
      <c r="I43" s="2049">
        <v>2.04</v>
      </c>
      <c r="J43" s="2049">
        <v>2.33</v>
      </c>
      <c r="K43" s="2049">
        <v>2.0699999999999998</v>
      </c>
      <c r="L43" s="2050">
        <v>0.69</v>
      </c>
      <c r="N43" s="2041">
        <f t="shared" si="248"/>
        <v>2.0400000000000001E-2</v>
      </c>
      <c r="O43" s="2026">
        <f t="shared" si="243"/>
        <v>2.3300000000000001E-2</v>
      </c>
      <c r="P43" s="2026">
        <f t="shared" si="243"/>
        <v>2.07E-2</v>
      </c>
      <c r="Q43" s="2026">
        <f t="shared" si="243"/>
        <v>6.8999999999999999E-3</v>
      </c>
      <c r="R43" s="2042"/>
      <c r="S43" s="2041"/>
      <c r="T43" s="2026"/>
      <c r="U43" s="2026"/>
      <c r="V43" s="2026"/>
      <c r="X43" s="2079"/>
      <c r="Y43" s="2080"/>
    </row>
    <row r="44" spans="1:34">
      <c r="A44" s="2038" t="s">
        <v>468</v>
      </c>
      <c r="B44" s="2039">
        <f t="shared" si="255"/>
        <v>282.50186729015837</v>
      </c>
      <c r="C44" s="2039">
        <f t="shared" si="255"/>
        <v>238.09796174155468</v>
      </c>
      <c r="D44" s="2039">
        <f t="shared" si="246"/>
        <v>238.09796174155468</v>
      </c>
      <c r="E44" s="2039">
        <f t="shared" si="256"/>
        <v>385.33438646014054</v>
      </c>
      <c r="F44" s="2039">
        <f t="shared" si="256"/>
        <v>221.55034055567739</v>
      </c>
      <c r="G44" s="3514"/>
      <c r="H44" s="2040">
        <v>1</v>
      </c>
      <c r="I44" s="2040">
        <v>1.67</v>
      </c>
      <c r="J44" s="2040">
        <v>1.31</v>
      </c>
      <c r="K44" s="2040">
        <v>1.85</v>
      </c>
      <c r="L44" s="2044">
        <v>0.96</v>
      </c>
      <c r="N44" s="2053">
        <f t="shared" si="248"/>
        <v>1.67E-2</v>
      </c>
      <c r="O44" s="2054">
        <f t="shared" si="248"/>
        <v>1.3100000000000001E-2</v>
      </c>
      <c r="P44" s="2054">
        <f t="shared" si="248"/>
        <v>1.8500000000000003E-2</v>
      </c>
      <c r="Q44" s="2054">
        <f t="shared" si="248"/>
        <v>9.5999999999999992E-3</v>
      </c>
      <c r="R44" s="2042"/>
      <c r="S44" s="2053">
        <f>B44/B45-1</f>
        <v>1.6193767230785472E-2</v>
      </c>
      <c r="T44" s="2054">
        <f>C44/C45-1</f>
        <v>1.7512657015190891E-2</v>
      </c>
      <c r="U44" s="2054">
        <f>E44/E45-1</f>
        <v>1.6713420739157048E-2</v>
      </c>
      <c r="V44" s="2054">
        <f>F44/F45-1</f>
        <v>7.0470025258062563E-3</v>
      </c>
      <c r="Y44" s="2026"/>
      <c r="Z44" s="2026"/>
    </row>
    <row r="45" spans="1:34" ht="13.5" thickBot="1">
      <c r="A45" s="2038" t="s">
        <v>469</v>
      </c>
      <c r="B45" s="2081">
        <v>278</v>
      </c>
      <c r="C45" s="2081">
        <v>234</v>
      </c>
      <c r="D45" s="2081">
        <f t="shared" si="246"/>
        <v>234</v>
      </c>
      <c r="E45" s="2081">
        <v>379</v>
      </c>
      <c r="F45" s="2082">
        <v>220</v>
      </c>
      <c r="G45" s="3507">
        <v>2012</v>
      </c>
      <c r="H45" s="2055">
        <v>4</v>
      </c>
      <c r="I45" s="2055">
        <v>0.91</v>
      </c>
      <c r="J45" s="2055">
        <v>0.68</v>
      </c>
      <c r="K45" s="2055">
        <v>0.98</v>
      </c>
      <c r="L45" s="2056">
        <v>0.9</v>
      </c>
      <c r="N45" s="2041">
        <f t="shared" si="248"/>
        <v>9.1000000000000004E-3</v>
      </c>
      <c r="O45" s="2026">
        <f t="shared" si="248"/>
        <v>6.8000000000000005E-3</v>
      </c>
      <c r="P45" s="2026">
        <f t="shared" si="248"/>
        <v>9.7999999999999997E-3</v>
      </c>
      <c r="Q45" s="2026">
        <f t="shared" si="248"/>
        <v>9.0000000000000011E-3</v>
      </c>
      <c r="R45" s="2042"/>
      <c r="S45" s="2051"/>
      <c r="T45" s="2052"/>
      <c r="U45" s="2052"/>
      <c r="V45" s="2052"/>
      <c r="X45" s="2052"/>
      <c r="Y45" s="2052"/>
      <c r="Z45" s="2052"/>
    </row>
    <row r="46" spans="1:34">
      <c r="A46" s="2038" t="s">
        <v>470</v>
      </c>
      <c r="B46" s="2039">
        <f>B45/(1+N45)</f>
        <v>275.49301357645425</v>
      </c>
      <c r="C46" s="2039">
        <f>C45/(1+O45)</f>
        <v>232.41954707985698</v>
      </c>
      <c r="D46" s="2039">
        <f t="shared" si="246"/>
        <v>232.41954707985698</v>
      </c>
      <c r="E46" s="2039">
        <f t="shared" ref="E46:F48" si="257">E45/(1+P45)</f>
        <v>375.32184591008121</v>
      </c>
      <c r="F46" s="2039">
        <f t="shared" si="257"/>
        <v>218.03766105054513</v>
      </c>
      <c r="G46" s="3508"/>
      <c r="H46" s="2060">
        <v>3</v>
      </c>
      <c r="I46" s="2060">
        <v>0.09</v>
      </c>
      <c r="J46" s="2060">
        <v>0.28999999999999998</v>
      </c>
      <c r="K46" s="2060">
        <v>-0.01</v>
      </c>
      <c r="L46" s="2061">
        <v>0.57999999999999996</v>
      </c>
      <c r="N46" s="2041">
        <f t="shared" si="248"/>
        <v>8.9999999999999998E-4</v>
      </c>
      <c r="O46" s="2026">
        <f t="shared" si="248"/>
        <v>2.8999999999999998E-3</v>
      </c>
      <c r="P46" s="2026">
        <f t="shared" si="248"/>
        <v>-1E-4</v>
      </c>
      <c r="Q46" s="2026">
        <f t="shared" si="248"/>
        <v>5.7999999999999996E-3</v>
      </c>
      <c r="R46" s="2042"/>
      <c r="S46" s="2041"/>
      <c r="T46" s="2026"/>
      <c r="U46" s="2026"/>
      <c r="V46" s="2026"/>
    </row>
    <row r="47" spans="1:34">
      <c r="A47" s="2038" t="s">
        <v>471</v>
      </c>
      <c r="B47" s="2039">
        <f>B46/(1+N46)</f>
        <v>275.24529281292263</v>
      </c>
      <c r="C47" s="2039">
        <f>C46/(1+O46)</f>
        <v>231.74747938962707</v>
      </c>
      <c r="D47" s="2039">
        <f t="shared" si="246"/>
        <v>231.74747938962707</v>
      </c>
      <c r="E47" s="2039">
        <f t="shared" si="257"/>
        <v>375.35938184826603</v>
      </c>
      <c r="F47" s="2039">
        <f t="shared" si="257"/>
        <v>216.78033510692495</v>
      </c>
      <c r="G47" s="3508"/>
      <c r="H47" s="2049">
        <v>2</v>
      </c>
      <c r="I47" s="2049">
        <v>0.02</v>
      </c>
      <c r="J47" s="2049">
        <v>0.12</v>
      </c>
      <c r="K47" s="2049">
        <v>-0.08</v>
      </c>
      <c r="L47" s="2050">
        <v>1.24</v>
      </c>
      <c r="N47" s="2041">
        <f t="shared" si="248"/>
        <v>2.0000000000000001E-4</v>
      </c>
      <c r="O47" s="2026">
        <f t="shared" si="248"/>
        <v>1.1999999999999999E-3</v>
      </c>
      <c r="P47" s="2026">
        <f t="shared" si="248"/>
        <v>-8.0000000000000004E-4</v>
      </c>
      <c r="Q47" s="2026">
        <f t="shared" si="248"/>
        <v>1.24E-2</v>
      </c>
      <c r="R47" s="2042"/>
      <c r="S47" s="2041"/>
      <c r="T47" s="2026"/>
      <c r="U47" s="2026"/>
      <c r="V47" s="2026"/>
    </row>
    <row r="48" spans="1:34" ht="13.5" thickBot="1">
      <c r="A48" s="2038" t="s">
        <v>472</v>
      </c>
      <c r="B48" s="2039">
        <f>B47/(1+N47)</f>
        <v>275.19025476197027</v>
      </c>
      <c r="C48" s="2083">
        <v>232</v>
      </c>
      <c r="D48" s="2083">
        <f t="shared" si="246"/>
        <v>232</v>
      </c>
      <c r="E48" s="2039">
        <f t="shared" si="257"/>
        <v>375.65990977608692</v>
      </c>
      <c r="F48" s="2039">
        <f t="shared" si="257"/>
        <v>214.12518283971252</v>
      </c>
      <c r="G48" s="3509"/>
      <c r="H48" s="2040">
        <v>1</v>
      </c>
      <c r="I48" s="2040">
        <v>0.02</v>
      </c>
      <c r="J48" s="2040">
        <v>0.13</v>
      </c>
      <c r="K48" s="2040">
        <v>-0.04</v>
      </c>
      <c r="L48" s="2044">
        <v>0.46</v>
      </c>
      <c r="N48" s="2041">
        <f t="shared" si="248"/>
        <v>2.0000000000000001E-4</v>
      </c>
      <c r="O48" s="2026">
        <f t="shared" si="248"/>
        <v>1.2999999999999999E-3</v>
      </c>
      <c r="P48" s="2026">
        <f t="shared" si="248"/>
        <v>-4.0000000000000002E-4</v>
      </c>
      <c r="Q48" s="2026">
        <f t="shared" si="248"/>
        <v>4.5999999999999999E-3</v>
      </c>
      <c r="R48" s="2042"/>
      <c r="S48" s="2053">
        <f>B48/B49-1</f>
        <v>6.9183549807361189E-4</v>
      </c>
      <c r="T48" s="2054">
        <f>C48/C49-1</f>
        <v>0</v>
      </c>
      <c r="U48" s="2054">
        <f>E48/E49-1</f>
        <v>-9.0449527636460303E-4</v>
      </c>
      <c r="V48" s="2054">
        <f>F48/F49-1</f>
        <v>5.2825485432512753E-3</v>
      </c>
      <c r="X48" s="2026"/>
      <c r="Y48" s="2026"/>
      <c r="Z48" s="2026"/>
    </row>
    <row r="49" spans="1:26" ht="13.5" thickBot="1">
      <c r="A49" s="2038" t="s">
        <v>473</v>
      </c>
      <c r="B49" s="2047">
        <v>275</v>
      </c>
      <c r="C49" s="2047">
        <v>232</v>
      </c>
      <c r="D49" s="2047">
        <f t="shared" si="246"/>
        <v>232</v>
      </c>
      <c r="E49" s="2047">
        <v>376</v>
      </c>
      <c r="F49" s="2048">
        <v>213</v>
      </c>
      <c r="G49" s="3507">
        <v>2011</v>
      </c>
      <c r="H49" s="2055">
        <v>4</v>
      </c>
      <c r="I49" s="2055">
        <v>-0.2</v>
      </c>
      <c r="J49" s="2055">
        <v>0.04</v>
      </c>
      <c r="K49" s="2055">
        <v>-0.34</v>
      </c>
      <c r="L49" s="2056">
        <v>0.46</v>
      </c>
      <c r="N49" s="2057">
        <f t="shared" si="248"/>
        <v>-2E-3</v>
      </c>
      <c r="O49" s="2058">
        <f t="shared" si="248"/>
        <v>4.0000000000000002E-4</v>
      </c>
      <c r="P49" s="2058">
        <f t="shared" si="248"/>
        <v>-3.4000000000000002E-3</v>
      </c>
      <c r="Q49" s="2058">
        <f t="shared" si="248"/>
        <v>4.5999999999999999E-3</v>
      </c>
      <c r="R49" s="2042"/>
      <c r="S49" s="2051"/>
      <c r="T49" s="2052"/>
      <c r="U49" s="2052"/>
      <c r="V49" s="2052"/>
      <c r="X49" s="2052"/>
      <c r="Y49" s="2052"/>
      <c r="Z49" s="2052"/>
    </row>
    <row r="50" spans="1:26">
      <c r="A50" s="2038" t="s">
        <v>474</v>
      </c>
      <c r="B50" s="2039">
        <f t="shared" ref="B50:C52" si="258">B49/(1+N49)</f>
        <v>275.55110220440883</v>
      </c>
      <c r="C50" s="2039">
        <f t="shared" si="258"/>
        <v>231.90723710515795</v>
      </c>
      <c r="D50" s="2039">
        <f t="shared" si="246"/>
        <v>231.90723710515795</v>
      </c>
      <c r="E50" s="2039">
        <f t="shared" ref="E50:F52" si="259">E49/(1+P49)</f>
        <v>377.28276138872161</v>
      </c>
      <c r="F50" s="2039">
        <f t="shared" si="259"/>
        <v>212.02468644236512</v>
      </c>
      <c r="G50" s="3508">
        <v>2011</v>
      </c>
      <c r="H50" s="2060">
        <v>3</v>
      </c>
      <c r="I50" s="2060">
        <v>0.13</v>
      </c>
      <c r="J50" s="2060">
        <v>0.75</v>
      </c>
      <c r="K50" s="2060">
        <v>-0.08</v>
      </c>
      <c r="L50" s="2061">
        <v>0.53</v>
      </c>
      <c r="N50" s="2041">
        <f t="shared" si="248"/>
        <v>1.2999999999999999E-3</v>
      </c>
      <c r="O50" s="2026">
        <f t="shared" si="248"/>
        <v>7.4999999999999997E-3</v>
      </c>
      <c r="P50" s="2026">
        <f t="shared" si="248"/>
        <v>-8.0000000000000004E-4</v>
      </c>
      <c r="Q50" s="2026">
        <f t="shared" si="248"/>
        <v>5.3E-3</v>
      </c>
      <c r="R50" s="2042"/>
      <c r="S50" s="2041"/>
      <c r="T50" s="2026"/>
      <c r="U50" s="2026"/>
      <c r="V50" s="2026"/>
    </row>
    <row r="51" spans="1:26">
      <c r="A51" s="2038" t="s">
        <v>475</v>
      </c>
      <c r="B51" s="2039">
        <f t="shared" si="258"/>
        <v>275.19335084830601</v>
      </c>
      <c r="C51" s="2039">
        <f t="shared" si="258"/>
        <v>230.18088050139744</v>
      </c>
      <c r="D51" s="2039">
        <f t="shared" si="246"/>
        <v>230.18088050139744</v>
      </c>
      <c r="E51" s="2039">
        <f t="shared" si="259"/>
        <v>377.58482925212331</v>
      </c>
      <c r="F51" s="2039">
        <f t="shared" si="259"/>
        <v>210.90687997847917</v>
      </c>
      <c r="G51" s="3508">
        <v>2011</v>
      </c>
      <c r="H51" s="2049">
        <v>2</v>
      </c>
      <c r="I51" s="2049">
        <v>-0.4</v>
      </c>
      <c r="J51" s="2049">
        <v>0.17</v>
      </c>
      <c r="K51" s="2049">
        <v>-0.57999999999999996</v>
      </c>
      <c r="L51" s="2050">
        <v>-0.2</v>
      </c>
      <c r="N51" s="2041">
        <f t="shared" si="248"/>
        <v>-4.0000000000000001E-3</v>
      </c>
      <c r="O51" s="2026">
        <f t="shared" si="248"/>
        <v>1.7000000000000001E-3</v>
      </c>
      <c r="P51" s="2026">
        <f t="shared" si="248"/>
        <v>-5.7999999999999996E-3</v>
      </c>
      <c r="Q51" s="2026">
        <f t="shared" si="248"/>
        <v>-2E-3</v>
      </c>
      <c r="R51" s="2042"/>
      <c r="S51" s="2041"/>
      <c r="T51" s="2026"/>
      <c r="U51" s="2026"/>
      <c r="V51" s="2026"/>
    </row>
    <row r="52" spans="1:26" ht="13.5" thickBot="1">
      <c r="A52" s="2038" t="s">
        <v>476</v>
      </c>
      <c r="B52" s="2039">
        <f t="shared" si="258"/>
        <v>276.29854502841971</v>
      </c>
      <c r="C52" s="2039">
        <f t="shared" si="258"/>
        <v>229.79023709833027</v>
      </c>
      <c r="D52" s="2039">
        <f t="shared" si="246"/>
        <v>229.79023709833027</v>
      </c>
      <c r="E52" s="2039">
        <f t="shared" si="259"/>
        <v>379.78759731655936</v>
      </c>
      <c r="F52" s="2039">
        <f t="shared" si="259"/>
        <v>211.32953905659235</v>
      </c>
      <c r="G52" s="3509">
        <v>2011</v>
      </c>
      <c r="H52" s="2040">
        <v>1</v>
      </c>
      <c r="I52" s="2040">
        <v>2.65</v>
      </c>
      <c r="J52" s="2040">
        <v>3.76</v>
      </c>
      <c r="K52" s="2040">
        <v>1.89</v>
      </c>
      <c r="L52" s="2044">
        <v>7.95</v>
      </c>
      <c r="N52" s="2053">
        <f t="shared" si="248"/>
        <v>2.6499999999999999E-2</v>
      </c>
      <c r="O52" s="2054">
        <f t="shared" si="248"/>
        <v>3.7599999999999995E-2</v>
      </c>
      <c r="P52" s="2054">
        <f t="shared" si="248"/>
        <v>1.89E-2</v>
      </c>
      <c r="Q52" s="2054">
        <f t="shared" si="248"/>
        <v>7.9500000000000001E-2</v>
      </c>
      <c r="R52" s="2042"/>
      <c r="S52" s="2053">
        <f>B52/B53-1</f>
        <v>2.713213765211786E-2</v>
      </c>
      <c r="T52" s="2054">
        <f>C52/C53-1</f>
        <v>3.9774828499231862E-2</v>
      </c>
      <c r="U52" s="2054">
        <f>E52/E53-1</f>
        <v>1.8197311840641772E-2</v>
      </c>
      <c r="V52" s="2054">
        <f>F52/F53-1</f>
        <v>7.8211933962205826E-2</v>
      </c>
      <c r="X52" s="2026"/>
      <c r="Y52" s="2026"/>
      <c r="Z52" s="2026"/>
    </row>
    <row r="53" spans="1:26" ht="13.5" thickBot="1">
      <c r="A53" s="2038" t="s">
        <v>477</v>
      </c>
      <c r="B53" s="2047">
        <v>269</v>
      </c>
      <c r="C53" s="2047">
        <v>221</v>
      </c>
      <c r="D53" s="2047">
        <f t="shared" si="246"/>
        <v>221</v>
      </c>
      <c r="E53" s="2047">
        <v>373</v>
      </c>
      <c r="F53" s="2048">
        <v>196</v>
      </c>
      <c r="G53" s="3507">
        <v>2010</v>
      </c>
      <c r="H53" s="2055">
        <v>4</v>
      </c>
      <c r="I53" s="2055">
        <v>5.72</v>
      </c>
      <c r="J53" s="2055">
        <v>6.57</v>
      </c>
      <c r="K53" s="2055">
        <v>5.72</v>
      </c>
      <c r="L53" s="2056">
        <v>2.72</v>
      </c>
      <c r="N53" s="2041">
        <f t="shared" si="248"/>
        <v>5.7200000000000001E-2</v>
      </c>
      <c r="O53" s="2026">
        <f t="shared" si="248"/>
        <v>6.5700000000000008E-2</v>
      </c>
      <c r="P53" s="2026">
        <f t="shared" si="248"/>
        <v>5.7200000000000001E-2</v>
      </c>
      <c r="Q53" s="2026">
        <f t="shared" si="248"/>
        <v>2.7200000000000002E-2</v>
      </c>
      <c r="R53" s="2042"/>
      <c r="S53" s="2051"/>
      <c r="T53" s="2052"/>
      <c r="U53" s="2052"/>
      <c r="V53" s="2052"/>
      <c r="X53" s="2052"/>
      <c r="Y53" s="2052"/>
      <c r="Z53" s="2052"/>
    </row>
    <row r="54" spans="1:26">
      <c r="A54" s="2038" t="s">
        <v>478</v>
      </c>
      <c r="B54" s="2039">
        <f t="shared" ref="B54:C56" si="260">B53/(1+N53)</f>
        <v>254.44570563753314</v>
      </c>
      <c r="C54" s="2039">
        <f t="shared" si="260"/>
        <v>207.37543398705074</v>
      </c>
      <c r="D54" s="2039">
        <f t="shared" si="246"/>
        <v>207.37543398705074</v>
      </c>
      <c r="E54" s="2039">
        <f t="shared" ref="E54:F56" si="261">E53/(1+P53)</f>
        <v>352.81876655315932</v>
      </c>
      <c r="F54" s="2039">
        <f t="shared" si="261"/>
        <v>190.809968847352</v>
      </c>
      <c r="G54" s="3508">
        <v>2010</v>
      </c>
      <c r="H54" s="2060">
        <v>3</v>
      </c>
      <c r="I54" s="2060">
        <v>4.7300000000000004</v>
      </c>
      <c r="J54" s="2060">
        <v>3.9</v>
      </c>
      <c r="K54" s="2060">
        <v>5.03</v>
      </c>
      <c r="L54" s="2061">
        <v>4.21</v>
      </c>
      <c r="N54" s="2041">
        <f t="shared" si="248"/>
        <v>4.7300000000000002E-2</v>
      </c>
      <c r="O54" s="2026">
        <f t="shared" si="248"/>
        <v>3.9E-2</v>
      </c>
      <c r="P54" s="2026">
        <f t="shared" si="248"/>
        <v>5.0300000000000004E-2</v>
      </c>
      <c r="Q54" s="2026">
        <f t="shared" si="248"/>
        <v>4.2099999999999999E-2</v>
      </c>
      <c r="R54" s="2042"/>
      <c r="S54" s="2041"/>
      <c r="T54" s="2026"/>
      <c r="U54" s="2026"/>
      <c r="V54" s="2026"/>
    </row>
    <row r="55" spans="1:26">
      <c r="A55" s="2038" t="s">
        <v>479</v>
      </c>
      <c r="B55" s="2039">
        <f t="shared" si="260"/>
        <v>242.95398227588385</v>
      </c>
      <c r="C55" s="2039">
        <f t="shared" si="260"/>
        <v>199.59137053614126</v>
      </c>
      <c r="D55" s="2039">
        <f t="shared" si="246"/>
        <v>199.59137053614126</v>
      </c>
      <c r="E55" s="2039">
        <f t="shared" si="261"/>
        <v>335.92189522342125</v>
      </c>
      <c r="F55" s="2039">
        <f t="shared" si="261"/>
        <v>183.10139991109489</v>
      </c>
      <c r="G55" s="3508">
        <v>2010</v>
      </c>
      <c r="H55" s="2049">
        <v>2</v>
      </c>
      <c r="I55" s="2049">
        <v>4.6900000000000004</v>
      </c>
      <c r="J55" s="2049">
        <v>3.55</v>
      </c>
      <c r="K55" s="2049">
        <v>5.07</v>
      </c>
      <c r="L55" s="2050">
        <v>4.2300000000000004</v>
      </c>
      <c r="N55" s="2041">
        <f t="shared" si="248"/>
        <v>4.6900000000000004E-2</v>
      </c>
      <c r="O55" s="2026">
        <f t="shared" si="248"/>
        <v>3.5499999999999997E-2</v>
      </c>
      <c r="P55" s="2026">
        <f t="shared" si="248"/>
        <v>5.0700000000000002E-2</v>
      </c>
      <c r="Q55" s="2026">
        <f t="shared" si="248"/>
        <v>4.2300000000000004E-2</v>
      </c>
      <c r="R55" s="2042"/>
      <c r="S55" s="2041"/>
      <c r="T55" s="2026"/>
      <c r="U55" s="2026"/>
      <c r="V55" s="2026"/>
    </row>
    <row r="56" spans="1:26" ht="13.5" thickBot="1">
      <c r="A56" s="2038" t="s">
        <v>480</v>
      </c>
      <c r="B56" s="2039">
        <f t="shared" si="260"/>
        <v>232.06990378821649</v>
      </c>
      <c r="C56" s="2039">
        <f t="shared" si="260"/>
        <v>192.74878854286936</v>
      </c>
      <c r="D56" s="2039">
        <f t="shared" si="246"/>
        <v>192.74878854286936</v>
      </c>
      <c r="E56" s="2039">
        <f t="shared" si="261"/>
        <v>319.71247284992984</v>
      </c>
      <c r="F56" s="2039">
        <f t="shared" si="261"/>
        <v>175.67053622862409</v>
      </c>
      <c r="G56" s="3509">
        <v>2010</v>
      </c>
      <c r="H56" s="2040">
        <v>1</v>
      </c>
      <c r="I56" s="2040">
        <v>5.4</v>
      </c>
      <c r="J56" s="2040">
        <v>3.2</v>
      </c>
      <c r="K56" s="2040">
        <v>6.16</v>
      </c>
      <c r="L56" s="2044">
        <v>4.51</v>
      </c>
      <c r="N56" s="2041">
        <f t="shared" si="248"/>
        <v>5.4000000000000006E-2</v>
      </c>
      <c r="O56" s="2026">
        <f t="shared" si="248"/>
        <v>3.2000000000000001E-2</v>
      </c>
      <c r="P56" s="2026">
        <f t="shared" si="248"/>
        <v>6.1600000000000002E-2</v>
      </c>
      <c r="Q56" s="2026">
        <f t="shared" si="248"/>
        <v>4.5100000000000001E-2</v>
      </c>
      <c r="R56" s="2042"/>
      <c r="S56" s="2053">
        <f>B56/B57-1</f>
        <v>5.4863199037347599E-2</v>
      </c>
      <c r="T56" s="2054">
        <f>C56/C57-1</f>
        <v>3.0742184721226584E-2</v>
      </c>
      <c r="U56" s="2054">
        <f>E56/E57-1</f>
        <v>6.2167683886810154E-2</v>
      </c>
      <c r="V56" s="2054">
        <f>F56/F57-1</f>
        <v>4.5657953741810031E-2</v>
      </c>
      <c r="X56" s="2026"/>
      <c r="Y56" s="2026"/>
      <c r="Z56" s="2026"/>
    </row>
    <row r="57" spans="1:26" ht="13.5" thickBot="1">
      <c r="A57" s="2038" t="s">
        <v>481</v>
      </c>
      <c r="B57" s="2047">
        <v>220</v>
      </c>
      <c r="C57" s="2047">
        <v>187</v>
      </c>
      <c r="D57" s="2047">
        <f t="shared" si="246"/>
        <v>187</v>
      </c>
      <c r="E57" s="2047">
        <v>301</v>
      </c>
      <c r="F57" s="2048">
        <v>168</v>
      </c>
      <c r="G57" s="3507">
        <v>2009</v>
      </c>
      <c r="H57" s="2055">
        <v>4</v>
      </c>
      <c r="I57" s="2055">
        <v>2.2999999999999998</v>
      </c>
      <c r="J57" s="2055">
        <v>1.04</v>
      </c>
      <c r="K57" s="2055">
        <v>2.84</v>
      </c>
      <c r="L57" s="2056">
        <v>0.67</v>
      </c>
      <c r="N57" s="2057">
        <f t="shared" si="248"/>
        <v>2.3E-2</v>
      </c>
      <c r="O57" s="2058">
        <f t="shared" si="248"/>
        <v>1.04E-2</v>
      </c>
      <c r="P57" s="2058">
        <f t="shared" si="248"/>
        <v>2.8399999999999998E-2</v>
      </c>
      <c r="Q57" s="2058">
        <f t="shared" si="248"/>
        <v>6.7000000000000002E-3</v>
      </c>
      <c r="R57" s="2042"/>
      <c r="S57" s="2051"/>
      <c r="T57" s="2052"/>
      <c r="U57" s="2052"/>
      <c r="V57" s="2052"/>
      <c r="X57" s="2052"/>
      <c r="Y57" s="2052"/>
      <c r="Z57" s="2052"/>
    </row>
    <row r="58" spans="1:26">
      <c r="A58" s="2038" t="s">
        <v>482</v>
      </c>
      <c r="B58" s="2039">
        <f t="shared" ref="B58:C60" si="262">B57/(1+N57)</f>
        <v>215.05376344086022</v>
      </c>
      <c r="C58" s="2039">
        <f t="shared" si="262"/>
        <v>185.0752177355503</v>
      </c>
      <c r="D58" s="2039">
        <f t="shared" si="246"/>
        <v>185.0752177355503</v>
      </c>
      <c r="E58" s="2039">
        <f t="shared" ref="E58:F60" si="263">E57/(1+P57)</f>
        <v>292.68767016725008</v>
      </c>
      <c r="F58" s="2039">
        <f t="shared" si="263"/>
        <v>166.88189132810174</v>
      </c>
      <c r="G58" s="3508">
        <v>2009</v>
      </c>
      <c r="H58" s="2060">
        <v>3</v>
      </c>
      <c r="I58" s="2060">
        <v>2.1</v>
      </c>
      <c r="J58" s="2060">
        <v>1.86</v>
      </c>
      <c r="K58" s="2060">
        <v>2.29</v>
      </c>
      <c r="L58" s="2061">
        <v>0.85</v>
      </c>
      <c r="N58" s="2041">
        <f t="shared" si="248"/>
        <v>2.1000000000000001E-2</v>
      </c>
      <c r="O58" s="2026">
        <f t="shared" si="248"/>
        <v>1.8600000000000002E-2</v>
      </c>
      <c r="P58" s="2026">
        <f t="shared" si="248"/>
        <v>2.29E-2</v>
      </c>
      <c r="Q58" s="2026">
        <f t="shared" si="248"/>
        <v>8.5000000000000006E-3</v>
      </c>
      <c r="R58" s="2042"/>
      <c r="S58" s="2041"/>
      <c r="T58" s="2026"/>
      <c r="U58" s="2026"/>
      <c r="V58" s="2026"/>
    </row>
    <row r="59" spans="1:26">
      <c r="A59" s="2038" t="s">
        <v>483</v>
      </c>
      <c r="B59" s="2039">
        <f t="shared" si="262"/>
        <v>210.630522469011</v>
      </c>
      <c r="C59" s="2039">
        <f t="shared" si="262"/>
        <v>181.69567812247232</v>
      </c>
      <c r="D59" s="2039">
        <f t="shared" si="246"/>
        <v>181.69567812247232</v>
      </c>
      <c r="E59" s="2039">
        <f t="shared" si="263"/>
        <v>286.13517466736738</v>
      </c>
      <c r="F59" s="2039">
        <f t="shared" si="263"/>
        <v>165.47535084591149</v>
      </c>
      <c r="G59" s="3508">
        <v>2009</v>
      </c>
      <c r="H59" s="2049">
        <v>2</v>
      </c>
      <c r="I59" s="2049">
        <v>0.86</v>
      </c>
      <c r="J59" s="2049">
        <v>-1.1299999999999999</v>
      </c>
      <c r="K59" s="2049">
        <v>1.79</v>
      </c>
      <c r="L59" s="2050">
        <v>-2.0699999999999998</v>
      </c>
      <c r="N59" s="2041">
        <f t="shared" si="248"/>
        <v>8.6E-3</v>
      </c>
      <c r="O59" s="2026">
        <f t="shared" si="248"/>
        <v>-1.1299999999999999E-2</v>
      </c>
      <c r="P59" s="2026">
        <f t="shared" si="248"/>
        <v>1.7899999999999999E-2</v>
      </c>
      <c r="Q59" s="2026">
        <f t="shared" si="248"/>
        <v>-2.07E-2</v>
      </c>
      <c r="R59" s="2042"/>
      <c r="S59" s="2041"/>
      <c r="T59" s="2026"/>
      <c r="U59" s="2026"/>
      <c r="V59" s="2026"/>
    </row>
    <row r="60" spans="1:26">
      <c r="A60" s="2038" t="s">
        <v>484</v>
      </c>
      <c r="B60" s="2039">
        <f t="shared" si="262"/>
        <v>208.83454537875372</v>
      </c>
      <c r="C60" s="2039">
        <f t="shared" si="262"/>
        <v>183.77230517090351</v>
      </c>
      <c r="D60" s="2039">
        <f t="shared" si="246"/>
        <v>183.77230517090351</v>
      </c>
      <c r="E60" s="2039">
        <f t="shared" si="263"/>
        <v>281.10342338870947</v>
      </c>
      <c r="F60" s="2039">
        <f t="shared" si="263"/>
        <v>168.97309388942256</v>
      </c>
      <c r="G60" s="3509">
        <v>2009</v>
      </c>
      <c r="H60" s="2040">
        <v>1</v>
      </c>
      <c r="I60" s="2040">
        <v>-2.64</v>
      </c>
      <c r="J60" s="2040">
        <v>-2.5299999999999998</v>
      </c>
      <c r="K60" s="2040">
        <v>-3.02</v>
      </c>
      <c r="L60" s="2044">
        <v>1.52</v>
      </c>
      <c r="N60" s="2053">
        <f t="shared" si="248"/>
        <v>-2.64E-2</v>
      </c>
      <c r="O60" s="2054">
        <f t="shared" si="248"/>
        <v>-2.53E-2</v>
      </c>
      <c r="P60" s="2054">
        <f t="shared" si="248"/>
        <v>-3.0200000000000001E-2</v>
      </c>
      <c r="Q60" s="2054">
        <f t="shared" si="248"/>
        <v>1.52E-2</v>
      </c>
      <c r="R60" s="2042"/>
      <c r="S60" s="2053">
        <f>B60/B61-1</f>
        <v>-2.4137638417038754E-2</v>
      </c>
      <c r="T60" s="2054">
        <f>C60/C61-1</f>
        <v>-2.248773845264096E-2</v>
      </c>
      <c r="U60" s="2054">
        <f>E60/E61-1</f>
        <v>-2.7323794502735366E-2</v>
      </c>
      <c r="V60" s="2054">
        <f>F60/F61-1</f>
        <v>1.7910204153148035E-2</v>
      </c>
      <c r="X60" s="2026"/>
      <c r="Y60" s="2026"/>
      <c r="Z60" s="2026"/>
    </row>
    <row r="61" spans="1:26" ht="13.5" thickBot="1">
      <c r="A61" s="2038" t="s">
        <v>485</v>
      </c>
      <c r="B61" s="2081">
        <v>214</v>
      </c>
      <c r="C61" s="2081">
        <v>188</v>
      </c>
      <c r="D61" s="2081">
        <f t="shared" si="246"/>
        <v>188</v>
      </c>
      <c r="E61" s="2081">
        <v>289</v>
      </c>
      <c r="F61" s="2082">
        <v>166</v>
      </c>
      <c r="G61" s="3507">
        <v>2008</v>
      </c>
      <c r="H61" s="2055">
        <v>4</v>
      </c>
      <c r="I61" s="2055">
        <v>1.73</v>
      </c>
      <c r="J61" s="2055">
        <v>0.03</v>
      </c>
      <c r="K61" s="2055">
        <v>2.59</v>
      </c>
      <c r="L61" s="2056">
        <v>-1.66</v>
      </c>
      <c r="N61" s="2041">
        <f t="shared" si="248"/>
        <v>1.7299999999999999E-2</v>
      </c>
      <c r="O61" s="2026">
        <f t="shared" si="248"/>
        <v>2.9999999999999997E-4</v>
      </c>
      <c r="P61" s="2026">
        <f t="shared" si="248"/>
        <v>2.5899999999999999E-2</v>
      </c>
      <c r="Q61" s="2026">
        <f t="shared" si="248"/>
        <v>-1.66E-2</v>
      </c>
      <c r="R61" s="2042"/>
      <c r="S61" s="2051"/>
      <c r="T61" s="2052"/>
      <c r="U61" s="2052"/>
      <c r="V61" s="2052"/>
      <c r="X61" s="2052"/>
      <c r="Y61" s="2052"/>
      <c r="Z61" s="2052"/>
    </row>
    <row r="62" spans="1:26">
      <c r="A62" s="2038" t="s">
        <v>486</v>
      </c>
      <c r="B62" s="2039">
        <f t="shared" ref="B62:C64" si="264">B61/(1+N61)</f>
        <v>210.36075887152265</v>
      </c>
      <c r="C62" s="2039">
        <f t="shared" si="264"/>
        <v>187.94361691492554</v>
      </c>
      <c r="D62" s="2039">
        <f t="shared" si="246"/>
        <v>187.94361691492554</v>
      </c>
      <c r="E62" s="2039">
        <f t="shared" ref="E62:F64" si="265">E61/(1+P61)</f>
        <v>281.70386977288234</v>
      </c>
      <c r="F62" s="2039">
        <f t="shared" si="265"/>
        <v>168.80211511083994</v>
      </c>
      <c r="G62" s="3508">
        <v>2008</v>
      </c>
      <c r="H62" s="2060">
        <v>3</v>
      </c>
      <c r="I62" s="2060">
        <v>1.96</v>
      </c>
      <c r="J62" s="2060">
        <v>2.36</v>
      </c>
      <c r="K62" s="2060">
        <v>1.82</v>
      </c>
      <c r="L62" s="2061">
        <v>2.2200000000000002</v>
      </c>
      <c r="N62" s="2041">
        <f t="shared" si="248"/>
        <v>1.9599999999999999E-2</v>
      </c>
      <c r="O62" s="2026">
        <f t="shared" si="248"/>
        <v>2.3599999999999999E-2</v>
      </c>
      <c r="P62" s="2026">
        <f t="shared" si="248"/>
        <v>1.8200000000000001E-2</v>
      </c>
      <c r="Q62" s="2026">
        <f t="shared" si="248"/>
        <v>2.2200000000000001E-2</v>
      </c>
      <c r="R62" s="2042"/>
      <c r="S62" s="2041"/>
      <c r="T62" s="2026"/>
      <c r="U62" s="2026"/>
      <c r="V62" s="2026"/>
    </row>
    <row r="63" spans="1:26">
      <c r="A63" s="2038" t="s">
        <v>487</v>
      </c>
      <c r="B63" s="2039">
        <f t="shared" si="264"/>
        <v>206.31694671589116</v>
      </c>
      <c r="C63" s="2039">
        <f t="shared" si="264"/>
        <v>183.61041121036101</v>
      </c>
      <c r="D63" s="2039">
        <f t="shared" si="246"/>
        <v>183.61041121036101</v>
      </c>
      <c r="E63" s="2039">
        <f t="shared" si="265"/>
        <v>276.66850301795557</v>
      </c>
      <c r="F63" s="2039">
        <f t="shared" si="265"/>
        <v>165.1360938278614</v>
      </c>
      <c r="G63" s="3508">
        <v>2008</v>
      </c>
      <c r="H63" s="2049">
        <v>2</v>
      </c>
      <c r="I63" s="2049">
        <v>4.93</v>
      </c>
      <c r="J63" s="2049">
        <v>7.38</v>
      </c>
      <c r="K63" s="2049">
        <v>3.98</v>
      </c>
      <c r="L63" s="2050">
        <v>6.86</v>
      </c>
      <c r="N63" s="2041">
        <f t="shared" si="248"/>
        <v>4.9299999999999997E-2</v>
      </c>
      <c r="O63" s="2026">
        <f t="shared" si="248"/>
        <v>7.3800000000000004E-2</v>
      </c>
      <c r="P63" s="2026">
        <f t="shared" si="248"/>
        <v>3.9800000000000002E-2</v>
      </c>
      <c r="Q63" s="2026">
        <f t="shared" si="248"/>
        <v>6.8600000000000008E-2</v>
      </c>
      <c r="R63" s="2042"/>
      <c r="S63" s="2041"/>
      <c r="T63" s="2026"/>
      <c r="U63" s="2026"/>
      <c r="V63" s="2026"/>
    </row>
    <row r="64" spans="1:26" s="2087" customFormat="1" ht="13.5" thickBot="1">
      <c r="A64" s="2038" t="s">
        <v>488</v>
      </c>
      <c r="B64" s="2084">
        <f t="shared" si="264"/>
        <v>196.62341248059772</v>
      </c>
      <c r="C64" s="2084">
        <f t="shared" si="264"/>
        <v>170.99125648199012</v>
      </c>
      <c r="D64" s="2084">
        <f t="shared" si="246"/>
        <v>170.99125648199012</v>
      </c>
      <c r="E64" s="2084">
        <f t="shared" si="265"/>
        <v>266.07857570490052</v>
      </c>
      <c r="F64" s="2084">
        <f t="shared" si="265"/>
        <v>154.53499328828505</v>
      </c>
      <c r="G64" s="3509">
        <v>2008</v>
      </c>
      <c r="H64" s="2085">
        <v>1</v>
      </c>
      <c r="I64" s="2085">
        <v>4.1399999999999997</v>
      </c>
      <c r="J64" s="2085">
        <v>3.45</v>
      </c>
      <c r="K64" s="2085">
        <v>4.95</v>
      </c>
      <c r="L64" s="2086">
        <v>4.82</v>
      </c>
      <c r="N64" s="2088">
        <f t="shared" si="248"/>
        <v>4.1399999999999999E-2</v>
      </c>
      <c r="O64" s="2089">
        <f t="shared" si="248"/>
        <v>3.4500000000000003E-2</v>
      </c>
      <c r="P64" s="2089">
        <f t="shared" si="248"/>
        <v>4.9500000000000002E-2</v>
      </c>
      <c r="Q64" s="2089">
        <f t="shared" si="248"/>
        <v>4.82E-2</v>
      </c>
      <c r="R64" s="2090"/>
      <c r="S64" s="2088">
        <f>B64/B65-1</f>
        <v>4.5869215322328349E-2</v>
      </c>
      <c r="T64" s="2089">
        <f>C64/C65-1</f>
        <v>3.6310645345394743E-2</v>
      </c>
      <c r="U64" s="2089">
        <f>E64/E65-1</f>
        <v>4.7553447657088688E-2</v>
      </c>
      <c r="V64" s="2089">
        <f>F64/F65-1</f>
        <v>4.4155360055980086E-2</v>
      </c>
      <c r="X64" s="2089"/>
      <c r="Y64" s="2089"/>
      <c r="Z64" s="2089"/>
    </row>
    <row r="65" spans="1:26" ht="13.5" thickBot="1">
      <c r="A65" s="2038" t="s">
        <v>489</v>
      </c>
      <c r="B65" s="2047">
        <v>188</v>
      </c>
      <c r="C65" s="2047">
        <v>165</v>
      </c>
      <c r="D65" s="2047">
        <f t="shared" si="246"/>
        <v>165</v>
      </c>
      <c r="E65" s="2047">
        <v>254</v>
      </c>
      <c r="F65" s="2048">
        <v>148</v>
      </c>
      <c r="G65" s="3507">
        <v>2007</v>
      </c>
      <c r="H65" s="2091">
        <v>4</v>
      </c>
      <c r="I65" s="2091">
        <v>5.51</v>
      </c>
      <c r="J65" s="2091">
        <v>4.8899999999999997</v>
      </c>
      <c r="K65" s="2091">
        <v>6.43</v>
      </c>
      <c r="L65" s="2092">
        <v>5.36</v>
      </c>
      <c r="N65" s="2093">
        <f t="shared" ref="N65:O68" si="266">B65/B66-1</f>
        <v>4.1339718365245526E-2</v>
      </c>
      <c r="O65" s="2094">
        <f t="shared" si="266"/>
        <v>4.0324492593776018E-2</v>
      </c>
      <c r="P65" s="2094">
        <f t="shared" ref="P65:Q68" si="267">E65/E66-1</f>
        <v>6.1625555347990968E-2</v>
      </c>
      <c r="Q65" s="2094">
        <f t="shared" si="267"/>
        <v>4.6757569250590603E-2</v>
      </c>
      <c r="R65" s="2042"/>
      <c r="S65" s="2051"/>
      <c r="T65" s="2052"/>
      <c r="U65" s="2052"/>
      <c r="V65" s="2052"/>
      <c r="X65" s="2052"/>
      <c r="Y65" s="2052"/>
      <c r="Z65" s="2052"/>
    </row>
    <row r="66" spans="1:26">
      <c r="A66" s="2038" t="s">
        <v>490</v>
      </c>
      <c r="B66" s="2039">
        <f t="shared" ref="B66:C68" si="268">B67+(B$65-B$69)*I66/SUM(I$65:I$68)</f>
        <v>180.5366651097618</v>
      </c>
      <c r="C66" s="2039">
        <f t="shared" si="268"/>
        <v>158.60435967302453</v>
      </c>
      <c r="D66" s="2039">
        <f t="shared" si="246"/>
        <v>158.60435967302453</v>
      </c>
      <c r="E66" s="2039">
        <f t="shared" ref="E66:F68" si="269">E67+(E$65-E$69)*K66/SUM(K$65:K$68)</f>
        <v>239.25573260785075</v>
      </c>
      <c r="F66" s="2039">
        <f t="shared" si="269"/>
        <v>141.38899430740037</v>
      </c>
      <c r="G66" s="3508">
        <v>2007</v>
      </c>
      <c r="H66" s="2060">
        <v>3</v>
      </c>
      <c r="I66" s="2060">
        <v>8.65</v>
      </c>
      <c r="J66" s="2060">
        <v>8.06</v>
      </c>
      <c r="K66" s="2060">
        <v>9.94</v>
      </c>
      <c r="L66" s="2061">
        <v>5.8</v>
      </c>
      <c r="N66" s="2093">
        <f t="shared" si="266"/>
        <v>6.940217571740015E-2</v>
      </c>
      <c r="O66" s="2094">
        <f t="shared" si="266"/>
        <v>7.1197482471153428E-2</v>
      </c>
      <c r="P66" s="2094">
        <f t="shared" si="267"/>
        <v>0.10529679922579582</v>
      </c>
      <c r="Q66" s="2094">
        <f t="shared" si="267"/>
        <v>5.3292245059512133E-2</v>
      </c>
      <c r="R66" s="2042"/>
      <c r="S66" s="2041"/>
      <c r="T66" s="2026"/>
      <c r="U66" s="2026"/>
      <c r="V66" s="2026"/>
      <c r="X66" s="2095"/>
      <c r="Y66" s="2095"/>
      <c r="Z66" s="2095"/>
    </row>
    <row r="67" spans="1:26">
      <c r="A67" s="2038" t="s">
        <v>491</v>
      </c>
      <c r="B67" s="2039">
        <f t="shared" si="268"/>
        <v>168.82017748715555</v>
      </c>
      <c r="C67" s="2039">
        <f t="shared" si="268"/>
        <v>148.06267029972753</v>
      </c>
      <c r="D67" s="2039">
        <f t="shared" si="246"/>
        <v>148.06267029972753</v>
      </c>
      <c r="E67" s="2039">
        <f t="shared" si="269"/>
        <v>216.46288379323747</v>
      </c>
      <c r="F67" s="2039">
        <f t="shared" si="269"/>
        <v>134.23529411764704</v>
      </c>
      <c r="G67" s="3508">
        <v>2007</v>
      </c>
      <c r="H67" s="2049">
        <v>2</v>
      </c>
      <c r="I67" s="2049">
        <v>3.67</v>
      </c>
      <c r="J67" s="2049">
        <v>2.3199999999999998</v>
      </c>
      <c r="K67" s="2049">
        <v>5.0199999999999996</v>
      </c>
      <c r="L67" s="2050">
        <v>6.71</v>
      </c>
      <c r="N67" s="2093">
        <f t="shared" si="266"/>
        <v>3.0339138143848032E-2</v>
      </c>
      <c r="O67" s="2094">
        <f t="shared" si="266"/>
        <v>2.0922341588790472E-2</v>
      </c>
      <c r="P67" s="2094">
        <f t="shared" si="267"/>
        <v>5.6164796592717003E-2</v>
      </c>
      <c r="Q67" s="2094">
        <f t="shared" si="267"/>
        <v>6.5704536723887319E-2</v>
      </c>
      <c r="R67" s="2042"/>
      <c r="S67" s="2041"/>
      <c r="T67" s="2026"/>
      <c r="U67" s="2026"/>
      <c r="V67" s="2026"/>
      <c r="X67" s="2095"/>
      <c r="Y67" s="2095"/>
      <c r="Z67" s="2095"/>
    </row>
    <row r="68" spans="1:26">
      <c r="A68" s="2038" t="s">
        <v>492</v>
      </c>
      <c r="B68" s="2039">
        <f t="shared" si="268"/>
        <v>163.84913591779542</v>
      </c>
      <c r="C68" s="2039">
        <f t="shared" si="268"/>
        <v>145.0283378746594</v>
      </c>
      <c r="D68" s="2039">
        <f t="shared" si="246"/>
        <v>145.0283378746594</v>
      </c>
      <c r="E68" s="2039">
        <f t="shared" si="269"/>
        <v>204.95180722891567</v>
      </c>
      <c r="F68" s="2039">
        <f t="shared" si="269"/>
        <v>125.95920303605313</v>
      </c>
      <c r="G68" s="3509">
        <v>2007</v>
      </c>
      <c r="H68" s="2040">
        <v>1</v>
      </c>
      <c r="I68" s="2040">
        <v>3.58</v>
      </c>
      <c r="J68" s="2040">
        <v>3.08</v>
      </c>
      <c r="K68" s="2040">
        <v>4.34</v>
      </c>
      <c r="L68" s="2044">
        <v>3.21</v>
      </c>
      <c r="N68" s="2096">
        <f t="shared" si="266"/>
        <v>3.0497710174814063E-2</v>
      </c>
      <c r="O68" s="2097">
        <f t="shared" si="266"/>
        <v>2.8569772160704998E-2</v>
      </c>
      <c r="P68" s="2097">
        <f t="shared" si="267"/>
        <v>5.1034908866234296E-2</v>
      </c>
      <c r="Q68" s="2097">
        <f t="shared" si="267"/>
        <v>3.245248390207478E-2</v>
      </c>
      <c r="R68" s="2042"/>
      <c r="S68" s="2053">
        <f>B68/B69-1</f>
        <v>3.0497710174814063E-2</v>
      </c>
      <c r="T68" s="2054">
        <f>C68/C69-1</f>
        <v>2.8569772160704998E-2</v>
      </c>
      <c r="U68" s="2054">
        <f>E68/E69-1</f>
        <v>5.1034908866234296E-2</v>
      </c>
      <c r="V68" s="2054">
        <f>F68/F69-1</f>
        <v>3.245248390207478E-2</v>
      </c>
      <c r="X68" s="2095"/>
      <c r="Y68" s="2095"/>
      <c r="Z68" s="2095"/>
    </row>
    <row r="69" spans="1:26" ht="13.5" thickBot="1">
      <c r="A69" s="2038" t="s">
        <v>493</v>
      </c>
      <c r="B69" s="2062">
        <v>159</v>
      </c>
      <c r="C69" s="2062">
        <v>141</v>
      </c>
      <c r="D69" s="2062">
        <f t="shared" si="246"/>
        <v>141</v>
      </c>
      <c r="E69" s="2062">
        <v>195</v>
      </c>
      <c r="F69" s="2063">
        <v>122</v>
      </c>
      <c r="G69" s="3507">
        <v>2006</v>
      </c>
      <c r="H69" s="2055">
        <v>4</v>
      </c>
      <c r="I69" s="2055">
        <v>3.79</v>
      </c>
      <c r="J69" s="2055">
        <v>2.21</v>
      </c>
      <c r="K69" s="2055">
        <v>5.65</v>
      </c>
      <c r="L69" s="2056">
        <v>5.41</v>
      </c>
      <c r="N69" s="2093">
        <f t="shared" ref="N69:O72" si="270">I69/SUM(I$69:I$72)*(B$69/B$73-1)</f>
        <v>7.245466462748526E-2</v>
      </c>
      <c r="O69" s="2094">
        <f t="shared" si="270"/>
        <v>2.3237230038062766E-2</v>
      </c>
      <c r="P69" s="2094">
        <f t="shared" ref="P69:Q72" si="271">K69/SUM(K$69:K$72)*(E$69/E$73-1)</f>
        <v>0.16146893866323722</v>
      </c>
      <c r="Q69" s="2094">
        <f t="shared" si="271"/>
        <v>5.0755230321793784E-2</v>
      </c>
      <c r="R69" s="2042"/>
      <c r="S69" s="2051"/>
      <c r="T69" s="2052"/>
      <c r="U69" s="2052"/>
      <c r="V69" s="2052"/>
      <c r="X69" s="2095"/>
      <c r="Y69" s="2095"/>
      <c r="Z69" s="2095"/>
    </row>
    <row r="70" spans="1:26">
      <c r="A70" s="2038" t="s">
        <v>494</v>
      </c>
      <c r="B70" s="2039">
        <f t="shared" ref="B70:C72" si="272">B71+(B$69-B$73)*I70/SUM(I$69:I$72)</f>
        <v>149.00125628140702</v>
      </c>
      <c r="C70" s="2039">
        <f t="shared" si="272"/>
        <v>137.95592286501378</v>
      </c>
      <c r="D70" s="2039">
        <f t="shared" si="246"/>
        <v>137.95592286501378</v>
      </c>
      <c r="E70" s="2039">
        <f t="shared" ref="E70:F72" si="273">E71+(E$69-E$73)*K70/SUM(K$69:K$72)</f>
        <v>169.97231450719823</v>
      </c>
      <c r="F70" s="2039">
        <f t="shared" si="273"/>
        <v>116.21390374331551</v>
      </c>
      <c r="G70" s="3508">
        <v>2006</v>
      </c>
      <c r="H70" s="2060">
        <v>3</v>
      </c>
      <c r="I70" s="2060">
        <v>0.92</v>
      </c>
      <c r="J70" s="2060">
        <v>1.08</v>
      </c>
      <c r="K70" s="2060">
        <v>0.73</v>
      </c>
      <c r="L70" s="2061">
        <v>1.08</v>
      </c>
      <c r="N70" s="2093">
        <f t="shared" si="270"/>
        <v>1.7587939698492462E-2</v>
      </c>
      <c r="O70" s="2094">
        <f t="shared" si="270"/>
        <v>1.1355750425840628E-2</v>
      </c>
      <c r="P70" s="2094">
        <f t="shared" si="271"/>
        <v>2.0862358446754544E-2</v>
      </c>
      <c r="Q70" s="2094">
        <f t="shared" si="271"/>
        <v>1.0132282578103011E-2</v>
      </c>
      <c r="R70" s="2042"/>
      <c r="S70" s="2041"/>
      <c r="T70" s="2026"/>
      <c r="U70" s="2026"/>
      <c r="V70" s="2026"/>
      <c r="X70" s="2095"/>
      <c r="Y70" s="2095"/>
      <c r="Z70" s="2095"/>
    </row>
    <row r="71" spans="1:26">
      <c r="A71" s="2038" t="s">
        <v>495</v>
      </c>
      <c r="B71" s="2039">
        <f t="shared" si="272"/>
        <v>146.57412060301507</v>
      </c>
      <c r="C71" s="2039">
        <f t="shared" si="272"/>
        <v>136.46831955922866</v>
      </c>
      <c r="D71" s="2039">
        <f t="shared" si="246"/>
        <v>136.46831955922866</v>
      </c>
      <c r="E71" s="2039">
        <f t="shared" si="273"/>
        <v>166.73864894795128</v>
      </c>
      <c r="F71" s="2039">
        <f t="shared" si="273"/>
        <v>115.05882352941177</v>
      </c>
      <c r="G71" s="3508">
        <v>2006</v>
      </c>
      <c r="H71" s="2049">
        <v>2</v>
      </c>
      <c r="I71" s="2049">
        <v>0.96</v>
      </c>
      <c r="J71" s="2049">
        <v>0.25</v>
      </c>
      <c r="K71" s="2049">
        <v>1.9</v>
      </c>
      <c r="L71" s="2050">
        <v>0.95</v>
      </c>
      <c r="N71" s="2093">
        <f t="shared" si="270"/>
        <v>1.8352632728861701E-2</v>
      </c>
      <c r="O71" s="2094">
        <f t="shared" si="270"/>
        <v>2.6286459319075526E-3</v>
      </c>
      <c r="P71" s="2094">
        <f t="shared" si="271"/>
        <v>5.4299289107991269E-2</v>
      </c>
      <c r="Q71" s="2094">
        <f t="shared" si="271"/>
        <v>8.9126559714794995E-3</v>
      </c>
      <c r="R71" s="2042"/>
      <c r="S71" s="2041"/>
      <c r="T71" s="2026"/>
      <c r="U71" s="2026"/>
      <c r="V71" s="2026"/>
      <c r="X71" s="2095"/>
      <c r="Y71" s="2095"/>
      <c r="Z71" s="2095"/>
    </row>
    <row r="72" spans="1:26">
      <c r="A72" s="2038" t="s">
        <v>496</v>
      </c>
      <c r="B72" s="2039">
        <f t="shared" si="272"/>
        <v>144.04145728643215</v>
      </c>
      <c r="C72" s="2039">
        <f t="shared" si="272"/>
        <v>136.12396694214877</v>
      </c>
      <c r="D72" s="2039">
        <f t="shared" si="246"/>
        <v>136.12396694214877</v>
      </c>
      <c r="E72" s="2039">
        <f t="shared" si="273"/>
        <v>158.32225913621264</v>
      </c>
      <c r="F72" s="2039">
        <f t="shared" si="273"/>
        <v>114.04278074866311</v>
      </c>
      <c r="G72" s="3509">
        <v>2006</v>
      </c>
      <c r="H72" s="2040">
        <v>1</v>
      </c>
      <c r="I72" s="2040">
        <v>2.29</v>
      </c>
      <c r="J72" s="2040">
        <v>3.72</v>
      </c>
      <c r="K72" s="2040">
        <v>0.75</v>
      </c>
      <c r="L72" s="2044">
        <v>0.04</v>
      </c>
      <c r="N72" s="2096">
        <f t="shared" si="270"/>
        <v>4.3778675988638847E-2</v>
      </c>
      <c r="O72" s="2097">
        <f t="shared" si="270"/>
        <v>3.9114251466784385E-2</v>
      </c>
      <c r="P72" s="2097">
        <f t="shared" si="271"/>
        <v>2.1433929911049188E-2</v>
      </c>
      <c r="Q72" s="2097">
        <f t="shared" si="271"/>
        <v>3.7526972511492629E-4</v>
      </c>
      <c r="R72" s="2042"/>
      <c r="S72" s="2053">
        <f>B72/B73-1</f>
        <v>4.3778675988638716E-2</v>
      </c>
      <c r="T72" s="2054">
        <f>C72/C73-1</f>
        <v>3.91142514667846E-2</v>
      </c>
      <c r="U72" s="2054">
        <f>E72/E73-1</f>
        <v>2.143392991104931E-2</v>
      </c>
      <c r="V72" s="2054">
        <f>F72/F73-1</f>
        <v>3.7526972511492396E-4</v>
      </c>
      <c r="X72" s="2095"/>
      <c r="Y72" s="2095"/>
      <c r="Z72" s="2095"/>
    </row>
    <row r="73" spans="1:26" ht="13.5" thickBot="1">
      <c r="A73" s="2038" t="s">
        <v>497</v>
      </c>
      <c r="B73" s="2062">
        <v>138</v>
      </c>
      <c r="C73" s="2062">
        <v>131</v>
      </c>
      <c r="D73" s="2062">
        <f t="shared" si="246"/>
        <v>131</v>
      </c>
      <c r="E73" s="2062">
        <v>155</v>
      </c>
      <c r="F73" s="2063">
        <v>114</v>
      </c>
      <c r="G73" s="3507">
        <v>2005</v>
      </c>
      <c r="H73" s="2055">
        <v>4</v>
      </c>
      <c r="I73" s="2055">
        <v>3.29</v>
      </c>
      <c r="J73" s="2055">
        <v>1.44</v>
      </c>
      <c r="K73" s="2055">
        <v>0.66</v>
      </c>
      <c r="L73" s="2056">
        <v>7.78</v>
      </c>
      <c r="N73" s="2093">
        <f t="shared" ref="N73:O76" si="274">I73/SUM(I$73:I$76)*(B$73/B$77-1)</f>
        <v>9.9404603216919935E-2</v>
      </c>
      <c r="O73" s="2094">
        <f t="shared" si="274"/>
        <v>4.7636550760861554E-2</v>
      </c>
      <c r="P73" s="2094">
        <f t="shared" ref="P73:Q76" si="275">K73/SUM(K$73:K$76)*(E$73/E$77-1)</f>
        <v>8.3756345177664976E-2</v>
      </c>
      <c r="Q73" s="2094">
        <f t="shared" si="275"/>
        <v>5.2148766661559584E-2</v>
      </c>
      <c r="R73" s="2042"/>
      <c r="S73" s="2051"/>
      <c r="T73" s="2052"/>
      <c r="U73" s="2052"/>
      <c r="V73" s="2052"/>
      <c r="X73" s="2095"/>
      <c r="Y73" s="2095"/>
      <c r="Z73" s="2095"/>
    </row>
    <row r="74" spans="1:26">
      <c r="A74" s="2038" t="s">
        <v>498</v>
      </c>
      <c r="B74" s="2039">
        <f t="shared" ref="B74:C76" si="276">B75+(B$73-B$77)*I74/SUM(I$73:I$76)</f>
        <v>125.9720430107527</v>
      </c>
      <c r="C74" s="2039">
        <f t="shared" si="276"/>
        <v>125.1883408071749</v>
      </c>
      <c r="D74" s="2039">
        <f t="shared" si="246"/>
        <v>125.1883408071749</v>
      </c>
      <c r="E74" s="2039">
        <f t="shared" ref="E74:F76" si="277">E75+(E$73-E$77)*K74/SUM(K$73:K$76)</f>
        <v>144.61421319796952</v>
      </c>
      <c r="F74" s="2039">
        <f t="shared" si="277"/>
        <v>108.42008196721311</v>
      </c>
      <c r="G74" s="3508">
        <v>2005</v>
      </c>
      <c r="H74" s="2060">
        <v>3</v>
      </c>
      <c r="I74" s="2060">
        <v>0.46</v>
      </c>
      <c r="J74" s="2060">
        <v>0.32</v>
      </c>
      <c r="K74" s="2060">
        <v>0.42</v>
      </c>
      <c r="L74" s="2061">
        <v>0.64</v>
      </c>
      <c r="N74" s="2093">
        <f t="shared" si="274"/>
        <v>1.3898515951301874E-2</v>
      </c>
      <c r="O74" s="2094">
        <f t="shared" si="274"/>
        <v>1.0585900169080346E-2</v>
      </c>
      <c r="P74" s="2094">
        <f t="shared" si="275"/>
        <v>5.3299492385786795E-2</v>
      </c>
      <c r="Q74" s="2094">
        <f t="shared" si="275"/>
        <v>4.2898728359123568E-3</v>
      </c>
      <c r="R74" s="2042"/>
      <c r="S74" s="2041"/>
      <c r="T74" s="2026"/>
      <c r="U74" s="2026"/>
      <c r="V74" s="2026"/>
      <c r="X74" s="2095"/>
      <c r="Y74" s="2095"/>
      <c r="Z74" s="2095"/>
    </row>
    <row r="75" spans="1:26">
      <c r="A75" s="2038" t="s">
        <v>499</v>
      </c>
      <c r="B75" s="2039">
        <f t="shared" si="276"/>
        <v>124.29032258064517</v>
      </c>
      <c r="C75" s="2039">
        <f t="shared" si="276"/>
        <v>123.8968609865471</v>
      </c>
      <c r="D75" s="2039">
        <f t="shared" si="246"/>
        <v>123.8968609865471</v>
      </c>
      <c r="E75" s="2039">
        <f t="shared" si="277"/>
        <v>138.00507614213197</v>
      </c>
      <c r="F75" s="2039">
        <f t="shared" si="277"/>
        <v>107.96106557377048</v>
      </c>
      <c r="G75" s="3508">
        <v>2005</v>
      </c>
      <c r="H75" s="2049">
        <v>2</v>
      </c>
      <c r="I75" s="2049">
        <v>0.47</v>
      </c>
      <c r="J75" s="2049">
        <v>0.1</v>
      </c>
      <c r="K75" s="2049">
        <v>0.52</v>
      </c>
      <c r="L75" s="2050">
        <v>0.79</v>
      </c>
      <c r="N75" s="2093">
        <f t="shared" si="274"/>
        <v>1.420065760241713E-2</v>
      </c>
      <c r="O75" s="2094">
        <f t="shared" si="274"/>
        <v>3.3080938028376083E-3</v>
      </c>
      <c r="P75" s="2094">
        <f t="shared" si="275"/>
        <v>6.598984771573603E-2</v>
      </c>
      <c r="Q75" s="2094">
        <f t="shared" si="275"/>
        <v>5.2953117818293153E-3</v>
      </c>
      <c r="R75" s="2042"/>
      <c r="S75" s="2041"/>
      <c r="T75" s="2026"/>
      <c r="U75" s="2026"/>
      <c r="V75" s="2026"/>
      <c r="X75" s="2095"/>
      <c r="Y75" s="2095"/>
      <c r="Z75" s="2095"/>
    </row>
    <row r="76" spans="1:26">
      <c r="A76" s="2038" t="s">
        <v>500</v>
      </c>
      <c r="B76" s="2039">
        <f t="shared" si="276"/>
        <v>122.57204301075269</v>
      </c>
      <c r="C76" s="2039">
        <f t="shared" si="276"/>
        <v>123.4932735426009</v>
      </c>
      <c r="D76" s="2039">
        <f t="shared" si="246"/>
        <v>123.4932735426009</v>
      </c>
      <c r="E76" s="2039">
        <f t="shared" si="277"/>
        <v>129.82233502538071</v>
      </c>
      <c r="F76" s="2039">
        <f t="shared" si="277"/>
        <v>107.39446721311475</v>
      </c>
      <c r="G76" s="3509">
        <v>2005</v>
      </c>
      <c r="H76" s="2040">
        <v>1</v>
      </c>
      <c r="I76" s="2040">
        <v>0.43</v>
      </c>
      <c r="J76" s="2040">
        <v>0.37</v>
      </c>
      <c r="K76" s="2040">
        <v>0.37</v>
      </c>
      <c r="L76" s="2044">
        <v>0.55000000000000004</v>
      </c>
      <c r="N76" s="2096">
        <f t="shared" si="274"/>
        <v>1.2992090997956099E-2</v>
      </c>
      <c r="O76" s="2097">
        <f t="shared" si="274"/>
        <v>1.2239947070499151E-2</v>
      </c>
      <c r="P76" s="2097">
        <f t="shared" si="275"/>
        <v>4.6954314720812178E-2</v>
      </c>
      <c r="Q76" s="2097">
        <f t="shared" si="275"/>
        <v>3.6866094683621815E-3</v>
      </c>
      <c r="R76" s="2042"/>
      <c r="S76" s="2053">
        <f>B76/B77-1</f>
        <v>1.2992090997956174E-2</v>
      </c>
      <c r="T76" s="2054">
        <f>C76/C77-1</f>
        <v>1.2239947070499246E-2</v>
      </c>
      <c r="U76" s="2054">
        <f>E76/E77-1</f>
        <v>4.695431472081224E-2</v>
      </c>
      <c r="V76" s="2054">
        <f>F76/F77-1</f>
        <v>3.6866094683620787E-3</v>
      </c>
      <c r="X76" s="2095"/>
      <c r="Y76" s="2095"/>
      <c r="Z76" s="2095"/>
    </row>
    <row r="77" spans="1:26" ht="13.5" thickBot="1">
      <c r="A77" s="2038" t="s">
        <v>501</v>
      </c>
      <c r="B77" s="2081">
        <v>121</v>
      </c>
      <c r="C77" s="2081">
        <v>122</v>
      </c>
      <c r="D77" s="2081">
        <f t="shared" si="246"/>
        <v>122</v>
      </c>
      <c r="E77" s="2081">
        <v>124</v>
      </c>
      <c r="F77" s="2082">
        <v>107</v>
      </c>
      <c r="G77" s="3507">
        <v>2004</v>
      </c>
      <c r="H77" s="2055">
        <v>4</v>
      </c>
      <c r="I77" s="2055">
        <v>0.33</v>
      </c>
      <c r="J77" s="2055">
        <v>0.5</v>
      </c>
      <c r="K77" s="2055">
        <v>0.5</v>
      </c>
      <c r="L77" s="2056">
        <v>0</v>
      </c>
      <c r="N77" s="2093">
        <f t="shared" ref="N77:O80" si="278">I77/SUM(I$77:I$80)*(B$77/B$81-1)</f>
        <v>1.3391770148526898E-2</v>
      </c>
      <c r="O77" s="2094">
        <f t="shared" si="278"/>
        <v>1.063264221158958E-2</v>
      </c>
      <c r="P77" s="2094">
        <f t="shared" ref="P77:Q80" si="279">K77/SUM(K$77:K$80)*(E$77/E$81-1)</f>
        <v>2.2244466688911134E-2</v>
      </c>
      <c r="Q77" s="2094">
        <f t="shared" si="279"/>
        <v>0</v>
      </c>
      <c r="R77" s="2042"/>
      <c r="S77" s="2051"/>
      <c r="T77" s="2052"/>
      <c r="U77" s="2052"/>
      <c r="V77" s="2052"/>
      <c r="X77" s="2095"/>
      <c r="Y77" s="2095"/>
      <c r="Z77" s="2095"/>
    </row>
    <row r="78" spans="1:26">
      <c r="A78" s="2038" t="s">
        <v>502</v>
      </c>
      <c r="B78" s="2039">
        <f t="shared" ref="B78:C80" si="280">B79+(B$77-B$81)*I78/SUM(I$77:I$80)</f>
        <v>119.51351351351352</v>
      </c>
      <c r="C78" s="2039">
        <f t="shared" si="280"/>
        <v>120.7878787878788</v>
      </c>
      <c r="D78" s="2039">
        <f t="shared" si="246"/>
        <v>120.7878787878788</v>
      </c>
      <c r="E78" s="2039">
        <f t="shared" ref="E78:F80" si="281">E79+(E$77-E$81)*K78/SUM(K$77:K$80)</f>
        <v>121.5975975975976</v>
      </c>
      <c r="F78" s="2039">
        <f t="shared" si="281"/>
        <v>107</v>
      </c>
      <c r="G78" s="3508">
        <v>2004</v>
      </c>
      <c r="H78" s="2060">
        <v>3</v>
      </c>
      <c r="I78" s="2060">
        <v>0.56000000000000005</v>
      </c>
      <c r="J78" s="2060">
        <v>0.8</v>
      </c>
      <c r="K78" s="2060">
        <v>0.83</v>
      </c>
      <c r="L78" s="2061">
        <v>0.06</v>
      </c>
      <c r="N78" s="2093">
        <f t="shared" si="278"/>
        <v>2.2725428130833527E-2</v>
      </c>
      <c r="O78" s="2094">
        <f t="shared" si="278"/>
        <v>1.7012227538543329E-2</v>
      </c>
      <c r="P78" s="2094">
        <f t="shared" si="279"/>
        <v>3.6925814703592477E-2</v>
      </c>
      <c r="Q78" s="2094">
        <f t="shared" si="279"/>
        <v>2.8846153846153744E-2</v>
      </c>
      <c r="R78" s="2042"/>
      <c r="S78" s="2041"/>
      <c r="T78" s="2026"/>
      <c r="U78" s="2026"/>
      <c r="V78" s="2026"/>
      <c r="X78" s="2095"/>
      <c r="Y78" s="2095"/>
      <c r="Z78" s="2095"/>
    </row>
    <row r="79" spans="1:26">
      <c r="A79" s="2038" t="s">
        <v>503</v>
      </c>
      <c r="B79" s="2039">
        <f t="shared" si="280"/>
        <v>116.99099099099099</v>
      </c>
      <c r="C79" s="2039">
        <f t="shared" si="280"/>
        <v>118.84848484848486</v>
      </c>
      <c r="D79" s="2039">
        <f t="shared" si="246"/>
        <v>118.84848484848486</v>
      </c>
      <c r="E79" s="2039">
        <f t="shared" si="281"/>
        <v>117.60960960960961</v>
      </c>
      <c r="F79" s="2039">
        <f t="shared" si="281"/>
        <v>104</v>
      </c>
      <c r="G79" s="3508">
        <v>2004</v>
      </c>
      <c r="H79" s="2049">
        <v>2</v>
      </c>
      <c r="I79" s="2049">
        <v>1</v>
      </c>
      <c r="J79" s="2049">
        <v>1.5</v>
      </c>
      <c r="K79" s="2049">
        <v>1.5</v>
      </c>
      <c r="L79" s="2050">
        <v>0</v>
      </c>
      <c r="N79" s="2093">
        <f t="shared" si="278"/>
        <v>4.0581121662202721E-2</v>
      </c>
      <c r="O79" s="2094">
        <f t="shared" si="278"/>
        <v>3.1897926634768738E-2</v>
      </c>
      <c r="P79" s="2094">
        <f t="shared" si="279"/>
        <v>6.6733400066733395E-2</v>
      </c>
      <c r="Q79" s="2094">
        <f t="shared" si="279"/>
        <v>0</v>
      </c>
      <c r="R79" s="2042"/>
      <c r="S79" s="2041"/>
      <c r="T79" s="2026"/>
      <c r="U79" s="2026"/>
      <c r="V79" s="2026"/>
      <c r="X79" s="2095"/>
      <c r="Y79" s="2095"/>
      <c r="Z79" s="2095"/>
    </row>
    <row r="80" spans="1:26" s="2087" customFormat="1" ht="13.5" thickBot="1">
      <c r="A80" s="2038" t="s">
        <v>504</v>
      </c>
      <c r="B80" s="2084">
        <f t="shared" si="280"/>
        <v>112.48648648648648</v>
      </c>
      <c r="C80" s="2084">
        <f t="shared" si="280"/>
        <v>115.21212121212122</v>
      </c>
      <c r="D80" s="2084">
        <f t="shared" si="246"/>
        <v>115.21212121212122</v>
      </c>
      <c r="E80" s="2084">
        <f t="shared" si="281"/>
        <v>110.4024024024024</v>
      </c>
      <c r="F80" s="2084">
        <f t="shared" si="281"/>
        <v>104</v>
      </c>
      <c r="G80" s="3509">
        <v>2004</v>
      </c>
      <c r="H80" s="2085">
        <v>1</v>
      </c>
      <c r="I80" s="2085">
        <v>0.33</v>
      </c>
      <c r="J80" s="2085">
        <v>0.5</v>
      </c>
      <c r="K80" s="2085">
        <v>0.5</v>
      </c>
      <c r="L80" s="2086">
        <v>0</v>
      </c>
      <c r="N80" s="2098">
        <f t="shared" si="278"/>
        <v>1.3391770148526898E-2</v>
      </c>
      <c r="O80" s="2099">
        <f t="shared" si="278"/>
        <v>1.063264221158958E-2</v>
      </c>
      <c r="P80" s="2099">
        <f t="shared" si="279"/>
        <v>2.2244466688911134E-2</v>
      </c>
      <c r="Q80" s="2099">
        <f t="shared" si="279"/>
        <v>0</v>
      </c>
      <c r="R80" s="2090"/>
      <c r="S80" s="2088">
        <f>B80/B81-1</f>
        <v>1.3391770148526883E-2</v>
      </c>
      <c r="T80" s="2089">
        <f>C80/C81-1</f>
        <v>1.063264221158966E-2</v>
      </c>
      <c r="U80" s="2089">
        <f>E80/E81-1</f>
        <v>2.2244466688911224E-2</v>
      </c>
      <c r="V80" s="2089">
        <f>F80/F81-1</f>
        <v>0</v>
      </c>
      <c r="X80" s="2100"/>
      <c r="Y80" s="2100"/>
      <c r="Z80" s="2100"/>
    </row>
    <row r="81" spans="1:26" ht="13.5" thickBot="1">
      <c r="A81" s="2038" t="s">
        <v>505</v>
      </c>
      <c r="B81" s="2101">
        <v>111</v>
      </c>
      <c r="C81" s="2101">
        <v>114</v>
      </c>
      <c r="D81" s="2101">
        <f t="shared" si="246"/>
        <v>114</v>
      </c>
      <c r="E81" s="2101">
        <v>108</v>
      </c>
      <c r="F81" s="2102">
        <v>104</v>
      </c>
      <c r="G81" s="3507">
        <v>2003</v>
      </c>
      <c r="H81" s="2091">
        <v>4</v>
      </c>
      <c r="I81" s="2103"/>
      <c r="J81" s="2103"/>
      <c r="K81" s="2103"/>
      <c r="L81" s="2103"/>
      <c r="N81" s="2104"/>
      <c r="O81" s="2103"/>
      <c r="P81" s="2103"/>
      <c r="Q81" s="2103"/>
      <c r="S81" s="2104"/>
      <c r="T81" s="2103"/>
      <c r="U81" s="2103"/>
      <c r="V81" s="2103"/>
      <c r="X81" s="2095"/>
      <c r="Y81" s="2095"/>
      <c r="Z81" s="2095"/>
    </row>
    <row r="82" spans="1:26">
      <c r="A82" s="2038" t="s">
        <v>506</v>
      </c>
      <c r="B82" s="2105">
        <f t="shared" ref="B82:C84" si="282">B83+(B$81-B$85)/4</f>
        <v>109.75</v>
      </c>
      <c r="C82" s="2105">
        <f t="shared" si="282"/>
        <v>112.25</v>
      </c>
      <c r="D82" s="2105">
        <f t="shared" si="246"/>
        <v>112.25</v>
      </c>
      <c r="E82" s="2105">
        <f t="shared" ref="E82:F84" si="283">E83+(E$81-E$85)/4</f>
        <v>107.25</v>
      </c>
      <c r="F82" s="2105">
        <f t="shared" si="283"/>
        <v>103.5</v>
      </c>
      <c r="G82" s="3508">
        <v>2003</v>
      </c>
      <c r="H82" s="2060">
        <v>3</v>
      </c>
      <c r="I82" s="2103"/>
      <c r="J82" s="2103"/>
      <c r="K82" s="2103"/>
      <c r="L82" s="2103"/>
      <c r="X82" s="2095"/>
      <c r="Y82" s="2095"/>
      <c r="Z82" s="2095"/>
    </row>
    <row r="83" spans="1:26">
      <c r="A83" s="2038" t="s">
        <v>507</v>
      </c>
      <c r="B83" s="2105">
        <f t="shared" si="282"/>
        <v>108.5</v>
      </c>
      <c r="C83" s="2105">
        <f t="shared" si="282"/>
        <v>110.5</v>
      </c>
      <c r="D83" s="2105">
        <f t="shared" si="246"/>
        <v>110.5</v>
      </c>
      <c r="E83" s="2105">
        <f t="shared" si="283"/>
        <v>106.5</v>
      </c>
      <c r="F83" s="2105">
        <f t="shared" si="283"/>
        <v>103</v>
      </c>
      <c r="G83" s="3508">
        <v>2003</v>
      </c>
      <c r="H83" s="2049">
        <v>2</v>
      </c>
      <c r="I83" s="2103"/>
      <c r="J83" s="2103"/>
      <c r="K83" s="2103"/>
      <c r="L83" s="2103"/>
      <c r="X83" s="2095"/>
      <c r="Y83" s="2095"/>
      <c r="Z83" s="2095"/>
    </row>
    <row r="84" spans="1:26" ht="13.5" thickBot="1">
      <c r="A84" s="2038" t="s">
        <v>508</v>
      </c>
      <c r="B84" s="2105">
        <f t="shared" si="282"/>
        <v>107.25</v>
      </c>
      <c r="C84" s="2105">
        <f t="shared" si="282"/>
        <v>108.75</v>
      </c>
      <c r="D84" s="2105">
        <f t="shared" si="246"/>
        <v>108.75</v>
      </c>
      <c r="E84" s="2105">
        <f t="shared" si="283"/>
        <v>105.75</v>
      </c>
      <c r="F84" s="2105">
        <f t="shared" si="283"/>
        <v>102.5</v>
      </c>
      <c r="G84" s="3509">
        <v>2003</v>
      </c>
      <c r="H84" s="2106">
        <v>1</v>
      </c>
      <c r="I84" s="2103"/>
      <c r="J84" s="2103"/>
      <c r="K84" s="2103"/>
      <c r="L84" s="2103"/>
      <c r="S84" s="2041"/>
      <c r="T84" s="2026"/>
      <c r="U84" s="2026"/>
      <c r="X84" s="2095"/>
      <c r="Y84" s="2095"/>
      <c r="Z84" s="2095"/>
    </row>
    <row r="85" spans="1:26" ht="13.5" thickBot="1">
      <c r="A85" s="2038" t="s">
        <v>509</v>
      </c>
      <c r="B85" s="2107">
        <v>106</v>
      </c>
      <c r="C85" s="2107">
        <v>107</v>
      </c>
      <c r="D85" s="2107">
        <f t="shared" si="246"/>
        <v>107</v>
      </c>
      <c r="E85" s="2107">
        <v>105</v>
      </c>
      <c r="F85" s="2108">
        <v>102</v>
      </c>
      <c r="G85" s="3507">
        <v>2002</v>
      </c>
      <c r="H85" s="2055">
        <v>4</v>
      </c>
      <c r="I85" s="2103"/>
      <c r="J85" s="2103"/>
      <c r="K85" s="2103"/>
      <c r="L85" s="2103"/>
      <c r="N85" s="2104"/>
      <c r="O85" s="2103"/>
      <c r="P85" s="2103"/>
      <c r="Q85" s="2103"/>
      <c r="S85" s="2104"/>
      <c r="T85" s="2103"/>
      <c r="U85" s="2103"/>
      <c r="V85" s="2103"/>
      <c r="X85" s="2095"/>
      <c r="Y85" s="2095"/>
      <c r="Z85" s="2095"/>
    </row>
    <row r="86" spans="1:26">
      <c r="A86" s="2038" t="s">
        <v>510</v>
      </c>
      <c r="B86" s="2105">
        <f t="shared" ref="B86:C88" si="284">B87+(B$85-B$89)/4</f>
        <v>105</v>
      </c>
      <c r="C86" s="2105">
        <f t="shared" si="284"/>
        <v>106</v>
      </c>
      <c r="D86" s="2105">
        <f t="shared" si="246"/>
        <v>106</v>
      </c>
      <c r="E86" s="2105">
        <f t="shared" ref="E86:F88" si="285">E87+(E$85-E$89)/4</f>
        <v>104.5</v>
      </c>
      <c r="F86" s="2105">
        <f t="shared" si="285"/>
        <v>101.5</v>
      </c>
      <c r="G86" s="3508">
        <v>2002</v>
      </c>
      <c r="H86" s="2060">
        <v>3</v>
      </c>
      <c r="I86" s="2103"/>
      <c r="J86" s="2103"/>
      <c r="K86" s="2103"/>
      <c r="L86" s="2103"/>
      <c r="X86" s="2095"/>
      <c r="Y86" s="2095"/>
      <c r="Z86" s="2095"/>
    </row>
    <row r="87" spans="1:26">
      <c r="A87" s="2038" t="s">
        <v>511</v>
      </c>
      <c r="B87" s="2105">
        <f t="shared" si="284"/>
        <v>104</v>
      </c>
      <c r="C87" s="2105">
        <f t="shared" si="284"/>
        <v>105</v>
      </c>
      <c r="D87" s="2105">
        <f t="shared" si="246"/>
        <v>105</v>
      </c>
      <c r="E87" s="2105">
        <f t="shared" si="285"/>
        <v>104</v>
      </c>
      <c r="F87" s="2105">
        <f t="shared" si="285"/>
        <v>101</v>
      </c>
      <c r="G87" s="3508">
        <v>2002</v>
      </c>
      <c r="H87" s="2049">
        <v>2</v>
      </c>
      <c r="I87" s="2103"/>
      <c r="J87" s="2103"/>
      <c r="K87" s="2103"/>
      <c r="L87" s="2103"/>
      <c r="X87" s="2095"/>
      <c r="Y87" s="2095"/>
      <c r="Z87" s="2095"/>
    </row>
    <row r="88" spans="1:26" s="2070" customFormat="1" ht="13.5" thickBot="1">
      <c r="A88" s="2066" t="s">
        <v>512</v>
      </c>
      <c r="B88" s="2073">
        <f t="shared" si="284"/>
        <v>103</v>
      </c>
      <c r="C88" s="2073">
        <f t="shared" si="284"/>
        <v>104</v>
      </c>
      <c r="D88" s="2073">
        <f t="shared" si="246"/>
        <v>104</v>
      </c>
      <c r="E88" s="2073">
        <f t="shared" si="285"/>
        <v>103.5</v>
      </c>
      <c r="F88" s="2073">
        <f t="shared" si="285"/>
        <v>100.5</v>
      </c>
      <c r="G88" s="3509">
        <v>2002</v>
      </c>
      <c r="H88" s="2109">
        <v>1</v>
      </c>
      <c r="I88" s="2110"/>
      <c r="J88" s="2110"/>
      <c r="K88" s="2110"/>
      <c r="L88" s="2110"/>
      <c r="N88" s="2111"/>
      <c r="S88" s="2111"/>
      <c r="X88" s="2112"/>
      <c r="Y88" s="2112"/>
      <c r="Z88" s="2112"/>
    </row>
    <row r="89" spans="1:26" ht="13.5" thickBot="1">
      <c r="B89" s="2113">
        <v>102</v>
      </c>
      <c r="C89" s="2114">
        <v>103</v>
      </c>
      <c r="D89" s="2114">
        <f t="shared" si="246"/>
        <v>103</v>
      </c>
      <c r="E89" s="2114">
        <v>103</v>
      </c>
      <c r="F89" s="2115">
        <v>100</v>
      </c>
      <c r="I89" s="2103"/>
      <c r="J89" s="2103"/>
      <c r="K89" s="2103"/>
      <c r="L89" s="2103"/>
      <c r="N89" s="2104"/>
      <c r="O89" s="2103"/>
      <c r="P89" s="2103"/>
      <c r="Q89" s="2103"/>
      <c r="S89" s="2104"/>
      <c r="T89" s="2103"/>
      <c r="U89" s="2103"/>
      <c r="V89" s="2103"/>
      <c r="X89" s="2052"/>
      <c r="Y89" s="2052"/>
      <c r="Z89" s="2052"/>
    </row>
    <row r="91" spans="1:26" s="2117" customFormat="1">
      <c r="A91" s="2116" t="s">
        <v>513</v>
      </c>
      <c r="G91" s="2118"/>
      <c r="N91" s="2118"/>
      <c r="S91" s="2118"/>
    </row>
    <row r="92" spans="1:26" s="2117" customFormat="1">
      <c r="A92" s="2117" t="s">
        <v>514</v>
      </c>
      <c r="G92" s="2118"/>
      <c r="N92" s="2118"/>
      <c r="S92" s="2118"/>
    </row>
    <row r="93" spans="1:26" s="2117" customFormat="1">
      <c r="A93" s="2117" t="s">
        <v>515</v>
      </c>
      <c r="G93" s="2118"/>
      <c r="I93" s="2119"/>
      <c r="J93" s="2119"/>
      <c r="K93" s="2119"/>
      <c r="L93" s="2119"/>
      <c r="N93" s="2120"/>
      <c r="O93" s="2119"/>
      <c r="P93" s="2119"/>
      <c r="Q93" s="2119"/>
      <c r="S93" s="2120"/>
      <c r="T93" s="2119"/>
      <c r="U93" s="2119"/>
      <c r="V93" s="2119"/>
    </row>
    <row r="94" spans="1:26" s="2117" customFormat="1">
      <c r="A94" s="2117" t="s">
        <v>516</v>
      </c>
      <c r="G94" s="2118"/>
      <c r="N94" s="2118"/>
      <c r="S94" s="2118"/>
    </row>
    <row r="101" spans="7:22" ht="13.5" thickBot="1"/>
    <row r="102" spans="7:22">
      <c r="G102" s="2025"/>
      <c r="S102" s="2121" t="s">
        <v>517</v>
      </c>
      <c r="T102" s="2060" t="s">
        <v>518</v>
      </c>
      <c r="U102" s="2060" t="s">
        <v>519</v>
      </c>
      <c r="V102" s="2060" t="s">
        <v>520</v>
      </c>
    </row>
    <row r="103" spans="7:22">
      <c r="G103" s="2025"/>
      <c r="N103" s="2051"/>
      <c r="O103" s="2052"/>
      <c r="P103" s="2052"/>
      <c r="Q103" s="2052"/>
      <c r="S103" s="2122">
        <v>2006</v>
      </c>
      <c r="T103" s="2049">
        <v>15.1</v>
      </c>
      <c r="U103" s="2049">
        <v>7.43</v>
      </c>
      <c r="V103" s="2049">
        <v>26.26</v>
      </c>
    </row>
    <row r="104" spans="7:22">
      <c r="G104" s="2025"/>
      <c r="N104" s="2051"/>
      <c r="O104" s="2052"/>
      <c r="P104" s="2052"/>
      <c r="Q104" s="2052"/>
      <c r="S104" s="2123">
        <v>2005</v>
      </c>
      <c r="T104" s="2040">
        <v>13.9</v>
      </c>
      <c r="U104" s="2040">
        <v>7.49</v>
      </c>
      <c r="V104" s="2040">
        <v>24.92</v>
      </c>
    </row>
    <row r="105" spans="7:22">
      <c r="G105" s="2025"/>
      <c r="N105" s="2051"/>
      <c r="O105" s="2052"/>
      <c r="P105" s="2052"/>
      <c r="Q105" s="2052"/>
      <c r="S105" s="2122">
        <v>2004</v>
      </c>
      <c r="T105" s="2049">
        <v>9.48</v>
      </c>
      <c r="U105" s="2049">
        <v>7.2</v>
      </c>
      <c r="V105" s="2049">
        <v>14.68</v>
      </c>
    </row>
    <row r="106" spans="7:22">
      <c r="G106" s="2025"/>
      <c r="N106" s="2051"/>
      <c r="O106" s="2052"/>
      <c r="P106" s="2052"/>
      <c r="Q106" s="2052"/>
      <c r="S106" s="2123">
        <v>2003</v>
      </c>
      <c r="T106" s="2040">
        <v>4.5</v>
      </c>
      <c r="U106" s="2040">
        <v>6.12</v>
      </c>
      <c r="V106" s="2040">
        <v>2.34</v>
      </c>
    </row>
    <row r="107" spans="7:22" ht="13.5" thickBot="1">
      <c r="G107" s="2025"/>
      <c r="N107" s="2051"/>
      <c r="O107" s="2052"/>
      <c r="P107" s="2052"/>
      <c r="Q107" s="2052"/>
      <c r="S107" s="2124">
        <v>2002</v>
      </c>
      <c r="T107" s="2055">
        <v>3.59</v>
      </c>
      <c r="U107" s="2055">
        <v>4.54</v>
      </c>
      <c r="V107" s="2055">
        <v>2.5499999999999998</v>
      </c>
    </row>
    <row r="108" spans="7:22">
      <c r="G108" s="2025"/>
      <c r="N108" s="2051"/>
      <c r="O108" s="2052"/>
      <c r="P108" s="2052"/>
      <c r="Q108" s="2052"/>
    </row>
    <row r="109" spans="7:22">
      <c r="G109" s="2025"/>
      <c r="N109" s="2051"/>
      <c r="O109" s="2052"/>
      <c r="P109" s="2052"/>
      <c r="Q109" s="2052"/>
    </row>
    <row r="110" spans="7:22">
      <c r="G110" s="2025"/>
      <c r="N110" s="2051"/>
      <c r="O110" s="2052"/>
      <c r="P110" s="2052"/>
      <c r="Q110" s="2052"/>
    </row>
    <row r="111" spans="7:22">
      <c r="G111" s="2025"/>
      <c r="N111" s="2051"/>
      <c r="O111" s="2052"/>
      <c r="P111" s="2052"/>
      <c r="Q111" s="2052"/>
    </row>
    <row r="112" spans="7:22">
      <c r="G112" s="2025"/>
      <c r="N112" s="2051"/>
      <c r="O112" s="2052"/>
      <c r="P112" s="2052"/>
      <c r="Q112" s="2052"/>
    </row>
    <row r="113" spans="7:19">
      <c r="G113" s="2025"/>
      <c r="N113" s="2051"/>
      <c r="O113" s="2052"/>
      <c r="P113" s="2052"/>
      <c r="Q113" s="2052"/>
    </row>
    <row r="114" spans="7:19">
      <c r="G114" s="2025"/>
      <c r="N114" s="2051"/>
      <c r="O114" s="2052"/>
      <c r="P114" s="2052"/>
      <c r="Q114" s="2052"/>
    </row>
    <row r="115" spans="7:19">
      <c r="G115" s="2025"/>
      <c r="N115" s="2051"/>
      <c r="O115" s="2052"/>
      <c r="P115" s="2052"/>
      <c r="Q115" s="2052"/>
    </row>
    <row r="116" spans="7:19">
      <c r="G116" s="2025"/>
      <c r="N116" s="2051"/>
      <c r="O116" s="2052"/>
      <c r="P116" s="2052"/>
      <c r="Q116" s="2052"/>
    </row>
    <row r="117" spans="7:19">
      <c r="G117" s="2025"/>
      <c r="N117" s="2051"/>
      <c r="O117" s="2052"/>
      <c r="P117" s="2052"/>
      <c r="Q117" s="2052"/>
    </row>
    <row r="118" spans="7:19">
      <c r="G118" s="2025"/>
      <c r="N118" s="2051"/>
      <c r="O118" s="2052"/>
      <c r="P118" s="2052"/>
      <c r="Q118" s="2052"/>
      <c r="S118" s="2025"/>
    </row>
    <row r="119" spans="7:19">
      <c r="G119" s="2025"/>
      <c r="N119" s="2051"/>
      <c r="O119" s="2052"/>
      <c r="P119" s="2052"/>
      <c r="Q119" s="2052"/>
      <c r="S119" s="2025"/>
    </row>
    <row r="120" spans="7:19">
      <c r="G120" s="2025"/>
      <c r="N120" s="2051"/>
      <c r="O120" s="2052"/>
      <c r="P120" s="2052"/>
      <c r="Q120" s="2052"/>
      <c r="S120" s="2025"/>
    </row>
    <row r="121" spans="7:19">
      <c r="G121" s="2025"/>
      <c r="N121" s="2051"/>
      <c r="O121" s="2052"/>
      <c r="P121" s="2052"/>
      <c r="Q121" s="2052"/>
      <c r="S121" s="2025"/>
    </row>
    <row r="122" spans="7:19">
      <c r="G122" s="2025"/>
      <c r="N122" s="2051"/>
      <c r="O122" s="2052"/>
      <c r="P122" s="2052"/>
      <c r="Q122" s="2052"/>
      <c r="S122" s="2025"/>
    </row>
    <row r="123" spans="7:19">
      <c r="G123" s="2025"/>
      <c r="N123" s="2051"/>
      <c r="O123" s="2052"/>
      <c r="P123" s="2052"/>
      <c r="Q123" s="2052"/>
      <c r="S123" s="2025"/>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DAAAE-2ADA-4BF4-912C-C869F13D170E}">
  <sheetPr>
    <tabColor rgb="FF92D050"/>
  </sheetPr>
  <dimension ref="C2:R32"/>
  <sheetViews>
    <sheetView workbookViewId="0">
      <selection activeCell="I68" sqref="I68"/>
    </sheetView>
  </sheetViews>
  <sheetFormatPr defaultRowHeight="13.5"/>
  <cols>
    <col min="9" max="9" width="11.625" bestFit="1" customWidth="1"/>
    <col min="13" max="13" width="10.5" bestFit="1" customWidth="1"/>
    <col min="14" max="14" width="10.75" customWidth="1"/>
    <col min="17" max="17" width="10.5" bestFit="1" customWidth="1"/>
    <col min="18" max="19" width="11.625" bestFit="1" customWidth="1"/>
  </cols>
  <sheetData>
    <row r="2" spans="3:18">
      <c r="D2" s="1405" t="s">
        <v>3510</v>
      </c>
      <c r="G2" s="1405" t="s">
        <v>3437</v>
      </c>
      <c r="H2" s="1405" t="s">
        <v>3438</v>
      </c>
      <c r="I2" s="1405" t="s">
        <v>3439</v>
      </c>
      <c r="J2" s="1405" t="s">
        <v>3440</v>
      </c>
      <c r="K2" s="1405" t="s">
        <v>3441</v>
      </c>
    </row>
    <row r="3" spans="3:18">
      <c r="D3" s="1405" t="s">
        <v>3511</v>
      </c>
      <c r="E3" s="1405" t="s">
        <v>3453</v>
      </c>
      <c r="F3">
        <v>59.65</v>
      </c>
      <c r="G3">
        <v>2197600</v>
      </c>
      <c r="H3">
        <f>G3/F3</f>
        <v>36841.575859178542</v>
      </c>
      <c r="I3" s="3168">
        <v>45941</v>
      </c>
      <c r="J3">
        <v>3023900</v>
      </c>
      <c r="K3">
        <f>J3/F3</f>
        <v>50694.048616932108</v>
      </c>
      <c r="L3" s="1405" t="s">
        <v>3436</v>
      </c>
      <c r="M3" s="1405" t="s">
        <v>3442</v>
      </c>
      <c r="N3" s="3169" t="s">
        <v>3435</v>
      </c>
    </row>
    <row r="4" spans="3:18">
      <c r="D4" s="1405" t="s">
        <v>3512</v>
      </c>
      <c r="E4" s="1405" t="s">
        <v>3443</v>
      </c>
      <c r="F4">
        <v>55.56</v>
      </c>
      <c r="G4">
        <v>2326000</v>
      </c>
      <c r="H4">
        <f t="shared" ref="H4:H6" si="0">G4/F4</f>
        <v>41864.650827933765</v>
      </c>
      <c r="I4" s="3168">
        <v>45562</v>
      </c>
      <c r="J4">
        <v>1807950.5</v>
      </c>
      <c r="K4">
        <f t="shared" ref="K4:K6" si="1">J4/F4</f>
        <v>32540.505759539235</v>
      </c>
      <c r="L4" s="1405" t="s">
        <v>3446</v>
      </c>
      <c r="M4" s="1405" t="s">
        <v>3445</v>
      </c>
      <c r="N4" s="3169" t="s">
        <v>3444</v>
      </c>
    </row>
    <row r="5" spans="3:18">
      <c r="D5" s="1405" t="s">
        <v>3467</v>
      </c>
      <c r="E5" s="1405" t="s">
        <v>3448</v>
      </c>
      <c r="F5">
        <v>55.74</v>
      </c>
      <c r="G5">
        <v>2117000</v>
      </c>
      <c r="H5">
        <f t="shared" si="0"/>
        <v>37979.906709723713</v>
      </c>
      <c r="I5" s="3168">
        <v>45727</v>
      </c>
      <c r="J5">
        <v>3024200</v>
      </c>
      <c r="K5">
        <f t="shared" si="1"/>
        <v>54255.471833512733</v>
      </c>
      <c r="L5" s="1405" t="s">
        <v>3449</v>
      </c>
      <c r="M5" s="1405" t="s">
        <v>3445</v>
      </c>
      <c r="N5" s="3169" t="s">
        <v>3447</v>
      </c>
    </row>
    <row r="6" spans="3:18">
      <c r="D6" s="1405" t="s">
        <v>3467</v>
      </c>
      <c r="E6" s="1405" t="s">
        <v>3451</v>
      </c>
      <c r="F6">
        <v>60.11</v>
      </c>
      <c r="G6">
        <v>3104000</v>
      </c>
      <c r="H6">
        <f t="shared" si="0"/>
        <v>51638.662452171018</v>
      </c>
      <c r="I6" s="3168">
        <v>45192</v>
      </c>
      <c r="J6">
        <v>3508000</v>
      </c>
      <c r="K6">
        <f t="shared" si="1"/>
        <v>58359.673931126272</v>
      </c>
      <c r="L6" s="1405" t="s">
        <v>3452</v>
      </c>
      <c r="M6" s="1405" t="s">
        <v>3445</v>
      </c>
      <c r="N6" s="3169" t="s">
        <v>3450</v>
      </c>
    </row>
    <row r="10" spans="3:18">
      <c r="C10" s="1405" t="s">
        <v>3434</v>
      </c>
    </row>
    <row r="11" spans="3:18">
      <c r="C11">
        <v>35</v>
      </c>
      <c r="D11">
        <v>3600</v>
      </c>
      <c r="E11">
        <f>ROUND(D11/C11,2)</f>
        <v>102.86</v>
      </c>
      <c r="F11">
        <f>ROUND(D11/C11/30,2)</f>
        <v>3.43</v>
      </c>
      <c r="G11" s="1405" t="s">
        <v>3418</v>
      </c>
      <c r="H11" s="1405" t="s">
        <v>3419</v>
      </c>
      <c r="I11" s="3168">
        <v>45997</v>
      </c>
      <c r="J11" s="1405" t="s">
        <v>3421</v>
      </c>
      <c r="N11" s="1405" t="s">
        <v>3460</v>
      </c>
    </row>
    <row r="12" spans="3:18">
      <c r="C12">
        <v>56.6</v>
      </c>
      <c r="D12">
        <v>6600</v>
      </c>
      <c r="E12">
        <f t="shared" ref="E12:E32" si="2">ROUND(D12/C12,2)</f>
        <v>116.61</v>
      </c>
      <c r="F12">
        <f t="shared" ref="F12:F32" si="3">ROUND(D12/C12/30,2)</f>
        <v>3.89</v>
      </c>
      <c r="G12" s="1405" t="s">
        <v>3422</v>
      </c>
      <c r="H12" s="1405" t="s">
        <v>3423</v>
      </c>
      <c r="I12" s="3168">
        <v>45978</v>
      </c>
      <c r="N12" s="3171">
        <v>32</v>
      </c>
      <c r="O12" s="3171">
        <v>32555</v>
      </c>
      <c r="P12" s="3171" t="s">
        <v>3455</v>
      </c>
      <c r="Q12" s="3171" t="s">
        <v>3418</v>
      </c>
      <c r="R12" s="3172">
        <v>45927</v>
      </c>
    </row>
    <row r="13" spans="3:18">
      <c r="C13">
        <v>55.56</v>
      </c>
      <c r="D13">
        <v>6500</v>
      </c>
      <c r="E13">
        <f t="shared" si="2"/>
        <v>116.99</v>
      </c>
      <c r="F13">
        <f t="shared" si="3"/>
        <v>3.9</v>
      </c>
      <c r="G13" s="1405" t="s">
        <v>3424</v>
      </c>
      <c r="H13" s="1405" t="s">
        <v>3425</v>
      </c>
      <c r="I13" s="3168">
        <v>45968</v>
      </c>
      <c r="N13">
        <v>56</v>
      </c>
      <c r="O13">
        <v>38094</v>
      </c>
      <c r="P13" s="1405" t="s">
        <v>3454</v>
      </c>
      <c r="Q13" s="1405" t="s">
        <v>3422</v>
      </c>
      <c r="R13" s="3168">
        <v>45920</v>
      </c>
    </row>
    <row r="14" spans="3:18">
      <c r="C14">
        <v>45</v>
      </c>
      <c r="D14">
        <v>4100</v>
      </c>
      <c r="E14">
        <f t="shared" si="2"/>
        <v>91.11</v>
      </c>
      <c r="F14">
        <f t="shared" si="3"/>
        <v>3.04</v>
      </c>
      <c r="G14" s="1405" t="s">
        <v>3424</v>
      </c>
      <c r="H14" s="1405" t="s">
        <v>3426</v>
      </c>
      <c r="I14" s="3168">
        <v>45956</v>
      </c>
      <c r="N14" s="3171">
        <v>31</v>
      </c>
      <c r="O14" s="3171">
        <v>30265</v>
      </c>
      <c r="P14" s="3171" t="s">
        <v>3455</v>
      </c>
      <c r="Q14" s="3171" t="s">
        <v>3418</v>
      </c>
      <c r="R14" s="3172">
        <v>45901</v>
      </c>
    </row>
    <row r="15" spans="3:18">
      <c r="C15" s="3171">
        <v>33.700000000000003</v>
      </c>
      <c r="D15" s="3171">
        <v>5000</v>
      </c>
      <c r="E15" s="3171">
        <f t="shared" si="2"/>
        <v>148.37</v>
      </c>
      <c r="F15" s="3171">
        <f t="shared" si="3"/>
        <v>4.95</v>
      </c>
      <c r="G15" s="3171" t="s">
        <v>3418</v>
      </c>
      <c r="H15" s="3171" t="s">
        <v>3426</v>
      </c>
      <c r="I15" s="3172">
        <v>45952</v>
      </c>
      <c r="J15" s="3171" t="s">
        <v>3427</v>
      </c>
      <c r="N15" s="3171">
        <v>31</v>
      </c>
      <c r="O15" s="3171">
        <v>31952</v>
      </c>
      <c r="P15" s="3171" t="s">
        <v>3455</v>
      </c>
      <c r="Q15" s="3171" t="s">
        <v>3418</v>
      </c>
      <c r="R15" s="3172">
        <v>45899</v>
      </c>
    </row>
    <row r="16" spans="3:18">
      <c r="C16" s="3171">
        <v>30.86</v>
      </c>
      <c r="D16" s="3171">
        <v>4300</v>
      </c>
      <c r="E16" s="3171">
        <f t="shared" si="2"/>
        <v>139.34</v>
      </c>
      <c r="F16" s="3171">
        <f t="shared" si="3"/>
        <v>4.6399999999999997</v>
      </c>
      <c r="G16" s="3171" t="s">
        <v>3429</v>
      </c>
      <c r="H16" s="3171" t="s">
        <v>3425</v>
      </c>
      <c r="I16" s="3172">
        <v>45910</v>
      </c>
      <c r="J16" s="3171"/>
      <c r="N16">
        <v>30.74</v>
      </c>
      <c r="O16">
        <v>52374</v>
      </c>
      <c r="Q16" s="1405" t="s">
        <v>3429</v>
      </c>
      <c r="R16" s="3168">
        <v>45823</v>
      </c>
    </row>
    <row r="17" spans="3:18">
      <c r="C17" s="3171">
        <v>33.799999999999997</v>
      </c>
      <c r="D17" s="3171">
        <v>4500</v>
      </c>
      <c r="E17" s="3171">
        <f t="shared" si="2"/>
        <v>133.13999999999999</v>
      </c>
      <c r="F17" s="3171">
        <f t="shared" si="3"/>
        <v>4.4400000000000004</v>
      </c>
      <c r="G17" s="3171" t="s">
        <v>3429</v>
      </c>
      <c r="H17" s="3171" t="s">
        <v>3431</v>
      </c>
      <c r="I17" s="3172">
        <v>45899</v>
      </c>
      <c r="J17" s="3171"/>
      <c r="N17" s="3157">
        <v>30</v>
      </c>
      <c r="O17" s="3157">
        <v>42692</v>
      </c>
      <c r="P17" s="3180" t="s">
        <v>3430</v>
      </c>
      <c r="Q17" s="3180" t="s">
        <v>3429</v>
      </c>
      <c r="R17" s="3181">
        <v>45750</v>
      </c>
    </row>
    <row r="18" spans="3:18">
      <c r="C18">
        <v>34.590000000000003</v>
      </c>
      <c r="D18">
        <v>3900</v>
      </c>
      <c r="E18">
        <f t="shared" si="2"/>
        <v>112.75</v>
      </c>
      <c r="F18">
        <f t="shared" si="3"/>
        <v>3.76</v>
      </c>
      <c r="G18" s="1405" t="s">
        <v>3418</v>
      </c>
      <c r="H18" s="1405" t="s">
        <v>3426</v>
      </c>
      <c r="I18" s="3168">
        <v>45899</v>
      </c>
      <c r="N18" s="3157">
        <v>42</v>
      </c>
      <c r="O18" s="3157">
        <v>37220</v>
      </c>
      <c r="P18" s="3180" t="s">
        <v>3455</v>
      </c>
      <c r="Q18" s="3180" t="s">
        <v>3457</v>
      </c>
      <c r="R18" s="3181">
        <v>45747</v>
      </c>
    </row>
    <row r="19" spans="3:18">
      <c r="C19">
        <v>36</v>
      </c>
      <c r="D19">
        <v>4700</v>
      </c>
      <c r="E19">
        <f t="shared" si="2"/>
        <v>130.56</v>
      </c>
      <c r="F19">
        <f t="shared" si="3"/>
        <v>4.3499999999999996</v>
      </c>
      <c r="G19" s="1405" t="s">
        <v>3418</v>
      </c>
      <c r="H19" s="1405" t="s">
        <v>3431</v>
      </c>
      <c r="I19" s="3168">
        <v>45897</v>
      </c>
      <c r="J19" s="1405" t="s">
        <v>3427</v>
      </c>
      <c r="N19" s="3157">
        <v>31</v>
      </c>
      <c r="O19" s="3157">
        <v>40423</v>
      </c>
      <c r="P19" s="3180" t="s">
        <v>3425</v>
      </c>
      <c r="Q19" s="3180" t="s">
        <v>3429</v>
      </c>
      <c r="R19" s="3181">
        <v>45735</v>
      </c>
    </row>
    <row r="20" spans="3:18">
      <c r="C20">
        <v>31</v>
      </c>
      <c r="D20">
        <v>5100</v>
      </c>
      <c r="E20">
        <f t="shared" si="2"/>
        <v>164.52</v>
      </c>
      <c r="F20">
        <f t="shared" si="3"/>
        <v>5.48</v>
      </c>
      <c r="G20" s="1405" t="s">
        <v>3429</v>
      </c>
      <c r="H20" s="1405" t="s">
        <v>3426</v>
      </c>
      <c r="I20" s="3168">
        <v>45890</v>
      </c>
      <c r="N20">
        <v>58</v>
      </c>
      <c r="O20">
        <v>52332</v>
      </c>
      <c r="Q20" s="1405" t="s">
        <v>3424</v>
      </c>
      <c r="R20" s="3168">
        <v>45715</v>
      </c>
    </row>
    <row r="21" spans="3:18">
      <c r="C21">
        <v>56.03</v>
      </c>
      <c r="D21">
        <v>6600</v>
      </c>
      <c r="E21">
        <f t="shared" si="2"/>
        <v>117.79</v>
      </c>
      <c r="F21">
        <f t="shared" si="3"/>
        <v>3.93</v>
      </c>
      <c r="G21" s="1405" t="s">
        <v>3424</v>
      </c>
      <c r="H21" s="1405" t="s">
        <v>3431</v>
      </c>
      <c r="I21" s="3168">
        <v>45875</v>
      </c>
      <c r="N21">
        <v>30</v>
      </c>
      <c r="O21">
        <v>58765</v>
      </c>
      <c r="P21" s="1405" t="s">
        <v>3455</v>
      </c>
      <c r="Q21" s="1405" t="s">
        <v>3458</v>
      </c>
      <c r="R21" s="3168">
        <v>45648</v>
      </c>
    </row>
    <row r="22" spans="3:18">
      <c r="C22">
        <v>32.840000000000003</v>
      </c>
      <c r="D22">
        <v>4500</v>
      </c>
      <c r="E22">
        <f t="shared" si="2"/>
        <v>137.03</v>
      </c>
      <c r="F22">
        <f t="shared" si="3"/>
        <v>4.57</v>
      </c>
      <c r="G22" s="1405" t="s">
        <v>3433</v>
      </c>
      <c r="H22" s="1405" t="s">
        <v>3431</v>
      </c>
      <c r="I22" s="3168">
        <v>45863</v>
      </c>
      <c r="N22">
        <v>29</v>
      </c>
      <c r="O22">
        <v>38873</v>
      </c>
      <c r="P22" s="1405" t="s">
        <v>3459</v>
      </c>
      <c r="Q22" s="1405" t="s">
        <v>3429</v>
      </c>
      <c r="R22" s="3168">
        <v>45644</v>
      </c>
    </row>
    <row r="23" spans="3:18">
      <c r="C23">
        <v>58.09</v>
      </c>
      <c r="D23">
        <v>7300</v>
      </c>
      <c r="E23">
        <f t="shared" si="2"/>
        <v>125.67</v>
      </c>
      <c r="F23">
        <f t="shared" si="3"/>
        <v>4.1900000000000004</v>
      </c>
      <c r="G23" s="1405" t="s">
        <v>3422</v>
      </c>
      <c r="H23" s="1405" t="s">
        <v>3431</v>
      </c>
      <c r="I23" s="3168">
        <v>45863</v>
      </c>
      <c r="J23" s="1405" t="s">
        <v>3427</v>
      </c>
      <c r="K23" s="1405" t="s">
        <v>3432</v>
      </c>
      <c r="N23">
        <v>34</v>
      </c>
      <c r="O23">
        <v>50128</v>
      </c>
      <c r="P23" s="1405" t="s">
        <v>3426</v>
      </c>
      <c r="Q23" s="1405" t="s">
        <v>3418</v>
      </c>
      <c r="R23" s="3168">
        <v>45622</v>
      </c>
    </row>
    <row r="24" spans="3:18">
      <c r="C24">
        <v>58.09</v>
      </c>
      <c r="D24">
        <v>6500</v>
      </c>
      <c r="E24">
        <f t="shared" si="2"/>
        <v>111.9</v>
      </c>
      <c r="F24">
        <f t="shared" si="3"/>
        <v>3.73</v>
      </c>
      <c r="G24" s="1405" t="s">
        <v>3422</v>
      </c>
      <c r="H24" s="1405" t="s">
        <v>3426</v>
      </c>
      <c r="I24" s="3168">
        <v>45846</v>
      </c>
      <c r="N24">
        <v>58</v>
      </c>
      <c r="O24">
        <v>47961</v>
      </c>
      <c r="P24" s="1405" t="s">
        <v>3431</v>
      </c>
      <c r="Q24" s="1405" t="s">
        <v>3422</v>
      </c>
      <c r="R24" s="3168">
        <v>45616</v>
      </c>
    </row>
    <row r="25" spans="3:18">
      <c r="C25">
        <v>30.2</v>
      </c>
      <c r="D25">
        <v>4500</v>
      </c>
      <c r="E25">
        <f t="shared" si="2"/>
        <v>149.01</v>
      </c>
      <c r="F25">
        <f t="shared" si="3"/>
        <v>4.97</v>
      </c>
      <c r="G25" s="1405" t="s">
        <v>3433</v>
      </c>
      <c r="H25" s="1405" t="s">
        <v>3426</v>
      </c>
      <c r="I25" s="3168">
        <v>45839</v>
      </c>
      <c r="N25">
        <v>33</v>
      </c>
      <c r="O25">
        <v>34869</v>
      </c>
      <c r="P25" s="3170" t="s">
        <v>3454</v>
      </c>
      <c r="Q25" s="1405" t="s">
        <v>3433</v>
      </c>
      <c r="R25" s="3168">
        <v>45605</v>
      </c>
    </row>
    <row r="26" spans="3:18">
      <c r="C26">
        <v>75.61</v>
      </c>
      <c r="D26">
        <v>8500</v>
      </c>
      <c r="E26">
        <f t="shared" si="2"/>
        <v>112.42</v>
      </c>
      <c r="F26">
        <f t="shared" si="3"/>
        <v>3.75</v>
      </c>
      <c r="G26" s="1405" t="s">
        <v>3424</v>
      </c>
      <c r="H26" s="1405" t="s">
        <v>3426</v>
      </c>
      <c r="I26" s="3168">
        <v>45834</v>
      </c>
      <c r="J26" s="1405" t="s">
        <v>3427</v>
      </c>
      <c r="N26">
        <v>32</v>
      </c>
      <c r="O26">
        <v>41233</v>
      </c>
      <c r="P26" s="1405" t="s">
        <v>3459</v>
      </c>
      <c r="Q26" s="1405" t="s">
        <v>3418</v>
      </c>
      <c r="R26" s="3168">
        <v>45598</v>
      </c>
    </row>
    <row r="27" spans="3:18">
      <c r="C27">
        <v>35.57</v>
      </c>
      <c r="D27">
        <v>4900</v>
      </c>
      <c r="E27">
        <f t="shared" si="2"/>
        <v>137.76</v>
      </c>
      <c r="F27">
        <f t="shared" si="3"/>
        <v>4.59</v>
      </c>
      <c r="G27" s="1405" t="s">
        <v>3418</v>
      </c>
      <c r="H27" s="1405" t="s">
        <v>3431</v>
      </c>
      <c r="I27" s="3168">
        <v>45833</v>
      </c>
    </row>
    <row r="28" spans="3:18">
      <c r="C28">
        <v>55.52</v>
      </c>
      <c r="D28">
        <v>5000</v>
      </c>
      <c r="E28">
        <f t="shared" si="2"/>
        <v>90.06</v>
      </c>
      <c r="F28">
        <f t="shared" si="3"/>
        <v>3</v>
      </c>
      <c r="G28" s="1405" t="s">
        <v>3422</v>
      </c>
      <c r="H28" s="1405" t="s">
        <v>3431</v>
      </c>
      <c r="I28" s="3168">
        <v>45831</v>
      </c>
    </row>
    <row r="29" spans="3:18">
      <c r="C29">
        <v>32</v>
      </c>
      <c r="D29">
        <v>4452</v>
      </c>
      <c r="E29">
        <f t="shared" si="2"/>
        <v>139.13</v>
      </c>
      <c r="F29">
        <f t="shared" si="3"/>
        <v>4.6399999999999997</v>
      </c>
      <c r="G29" s="1405" t="s">
        <v>3429</v>
      </c>
      <c r="H29" s="1405" t="s">
        <v>3426</v>
      </c>
      <c r="I29" s="3168">
        <v>45819</v>
      </c>
    </row>
    <row r="30" spans="3:18">
      <c r="C30">
        <v>58</v>
      </c>
      <c r="D30">
        <v>6800</v>
      </c>
      <c r="E30">
        <f t="shared" si="2"/>
        <v>117.24</v>
      </c>
      <c r="F30">
        <f t="shared" si="3"/>
        <v>3.91</v>
      </c>
      <c r="G30" s="1405" t="s">
        <v>3422</v>
      </c>
      <c r="H30" s="1405" t="s">
        <v>3431</v>
      </c>
      <c r="I30" s="3168">
        <v>45806</v>
      </c>
    </row>
    <row r="31" spans="3:18">
      <c r="C31">
        <v>40</v>
      </c>
      <c r="D31">
        <v>3700</v>
      </c>
      <c r="E31">
        <f t="shared" si="2"/>
        <v>92.5</v>
      </c>
      <c r="F31">
        <f t="shared" si="3"/>
        <v>3.08</v>
      </c>
      <c r="G31" s="1405" t="s">
        <v>3418</v>
      </c>
      <c r="H31" s="1405" t="s">
        <v>3431</v>
      </c>
      <c r="I31" s="3168">
        <v>45783</v>
      </c>
    </row>
    <row r="32" spans="3:18">
      <c r="C32">
        <v>32.36</v>
      </c>
      <c r="D32">
        <v>4300</v>
      </c>
      <c r="E32">
        <f t="shared" si="2"/>
        <v>132.88</v>
      </c>
      <c r="F32">
        <f t="shared" si="3"/>
        <v>4.43</v>
      </c>
      <c r="G32" s="1405" t="s">
        <v>3418</v>
      </c>
      <c r="H32" s="1405" t="s">
        <v>3431</v>
      </c>
      <c r="I32" s="3168">
        <v>45773</v>
      </c>
    </row>
  </sheetData>
  <phoneticPr fontId="134" type="noConversion"/>
  <hyperlinks>
    <hyperlink ref="N3" r:id="rId1" display="https://sf-item.taobao.com/sf_item/978952784176.htm?spm=a213w.7398504.paiList.1.207e2d531GwNNo&amp;track_id=242c57b2-39c5-42a0-b4cc-669b95cb0f32" xr:uid="{B4B6E0D3-C75B-4AC2-B167-5CAE6C22B45B}"/>
    <hyperlink ref="N4" r:id="rId2" display="https://sf-item.taobao.com/sf_item/827694756388.htm?spm=a213w.7398504.paiList.4.207e2d531GwNNo&amp;track_id=242c57b2-39c5-42a0-b4cc-669b95cb0f32" xr:uid="{78AB8AF2-6E35-4977-BF82-8D8420D62EA5}"/>
    <hyperlink ref="N6" r:id="rId3" display="https://paimai.jd.com/298644220" xr:uid="{5A954CAC-30D5-4370-B231-47FC3A3533E9}"/>
    <hyperlink ref="N5" r:id="rId4" display="https://paimai.jd.com/308067165" xr:uid="{F1AA4B5A-41C8-4918-A385-F8986FBFF3C4}"/>
  </hyperlinks>
  <pageMargins left="0.7" right="0.7" top="0.75" bottom="0.75" header="0.3" footer="0.3"/>
  <drawing r:id="rId5"/>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75" defaultRowHeight="11.25"/>
  <cols>
    <col min="1" max="1" width="9.625" style="2781" customWidth="1"/>
    <col min="2" max="2" width="18.625" style="2781" customWidth="1"/>
    <col min="3" max="6" width="10.25" style="2781" customWidth="1"/>
    <col min="7" max="7" width="10.5" style="2781" bestFit="1" customWidth="1"/>
    <col min="8" max="8" width="8.875" style="2780"/>
    <col min="9" max="9" width="13.375" style="2780" customWidth="1"/>
    <col min="10" max="13" width="13.375" style="2781" customWidth="1"/>
    <col min="14" max="14" width="18.25" style="2781" customWidth="1"/>
    <col min="15" max="17" width="15.125" style="2781" customWidth="1"/>
    <col min="18" max="20" width="11.5" style="2781" customWidth="1"/>
    <col min="21" max="16384" width="8.875" style="2781"/>
  </cols>
  <sheetData>
    <row r="1" spans="1:20" ht="12" thickBot="1">
      <c r="A1" s="3518" t="s">
        <v>2839</v>
      </c>
      <c r="B1" s="3518"/>
      <c r="C1" s="3518"/>
      <c r="D1" s="3518"/>
      <c r="E1" s="3518"/>
      <c r="F1" s="3518"/>
      <c r="G1" s="351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 thickBot="1">
      <c r="A4" s="351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3.5"/>
  <cols>
    <col min="1" max="1" width="4.875" style="1159" customWidth="1"/>
    <col min="2" max="2" width="13.25" style="1165" customWidth="1"/>
    <col min="3" max="3" width="15.625" style="1165" customWidth="1"/>
    <col min="4" max="4" width="9.375" style="1165" bestFit="1" customWidth="1"/>
    <col min="5" max="5" width="13.5" style="1165" customWidth="1"/>
    <col min="6" max="6" width="9" style="1165"/>
    <col min="7" max="7" width="9.375" style="1165" bestFit="1" customWidth="1"/>
    <col min="8" max="8" width="12.25" style="1165" customWidth="1"/>
    <col min="9" max="9" width="9" style="1165"/>
    <col min="10" max="10" width="9.375" style="1165" bestFit="1" customWidth="1"/>
    <col min="11" max="11" width="4" style="1159" customWidth="1"/>
    <col min="12" max="12" width="5.125" style="1165" customWidth="1"/>
    <col min="13" max="13" width="13.75" style="1165" customWidth="1"/>
    <col min="14" max="256" width="9" style="1165"/>
    <col min="257" max="257" width="4.875" style="1156" customWidth="1"/>
    <col min="258" max="258" width="13.25" style="1156" customWidth="1"/>
    <col min="259" max="259" width="15.625" style="1156" customWidth="1"/>
    <col min="260" max="260" width="9.375" style="1156" bestFit="1" customWidth="1"/>
    <col min="261" max="261" width="13.5" style="1156" customWidth="1"/>
    <col min="262" max="262" width="9" style="1156"/>
    <col min="263" max="263" width="9.375" style="1156" bestFit="1" customWidth="1"/>
    <col min="264" max="265" width="9" style="1156"/>
    <col min="266" max="266" width="9.375" style="1156" bestFit="1" customWidth="1"/>
    <col min="267" max="267" width="4" style="1156" customWidth="1"/>
    <col min="268" max="268" width="5.125" style="1156" customWidth="1"/>
    <col min="269" max="269" width="13.75" style="1156" customWidth="1"/>
    <col min="270" max="512" width="9" style="1156"/>
    <col min="513" max="513" width="4.875" style="1156" customWidth="1"/>
    <col min="514" max="514" width="13.25" style="1156" customWidth="1"/>
    <col min="515" max="515" width="15.625" style="1156" customWidth="1"/>
    <col min="516" max="516" width="9.375" style="1156" bestFit="1" customWidth="1"/>
    <col min="517" max="517" width="13.5" style="1156" customWidth="1"/>
    <col min="518" max="518" width="9" style="1156"/>
    <col min="519" max="519" width="9.375" style="1156" bestFit="1" customWidth="1"/>
    <col min="520" max="521" width="9" style="1156"/>
    <col min="522" max="522" width="9.375" style="1156" bestFit="1" customWidth="1"/>
    <col min="523" max="523" width="4" style="1156" customWidth="1"/>
    <col min="524" max="524" width="5.125" style="1156" customWidth="1"/>
    <col min="525" max="525" width="13.75" style="1156" customWidth="1"/>
    <col min="526" max="768" width="9" style="1156"/>
    <col min="769" max="769" width="4.875" style="1156" customWidth="1"/>
    <col min="770" max="770" width="13.25" style="1156" customWidth="1"/>
    <col min="771" max="771" width="15.625" style="1156" customWidth="1"/>
    <col min="772" max="772" width="9.375" style="1156" bestFit="1" customWidth="1"/>
    <col min="773" max="773" width="13.5" style="1156" customWidth="1"/>
    <col min="774" max="774" width="9" style="1156"/>
    <col min="775" max="775" width="9.375" style="1156" bestFit="1" customWidth="1"/>
    <col min="776" max="777" width="9" style="1156"/>
    <col min="778" max="778" width="9.375" style="1156" bestFit="1" customWidth="1"/>
    <col min="779" max="779" width="4" style="1156" customWidth="1"/>
    <col min="780" max="780" width="5.125" style="1156" customWidth="1"/>
    <col min="781" max="781" width="13.75" style="1156" customWidth="1"/>
    <col min="782" max="1024" width="9" style="1156"/>
    <col min="1025" max="1025" width="4.875" style="1156" customWidth="1"/>
    <col min="1026" max="1026" width="13.25" style="1156" customWidth="1"/>
    <col min="1027" max="1027" width="15.625" style="1156" customWidth="1"/>
    <col min="1028" max="1028" width="9.375" style="1156" bestFit="1" customWidth="1"/>
    <col min="1029" max="1029" width="13.5" style="1156" customWidth="1"/>
    <col min="1030" max="1030" width="9" style="1156"/>
    <col min="1031" max="1031" width="9.375" style="1156" bestFit="1" customWidth="1"/>
    <col min="1032" max="1033" width="9" style="1156"/>
    <col min="1034" max="1034" width="9.375" style="1156" bestFit="1" customWidth="1"/>
    <col min="1035" max="1035" width="4" style="1156" customWidth="1"/>
    <col min="1036" max="1036" width="5.125" style="1156" customWidth="1"/>
    <col min="1037" max="1037" width="13.75" style="1156" customWidth="1"/>
    <col min="1038" max="1280" width="9" style="1156"/>
    <col min="1281" max="1281" width="4.875" style="1156" customWidth="1"/>
    <col min="1282" max="1282" width="13.25" style="1156" customWidth="1"/>
    <col min="1283" max="1283" width="15.625" style="1156" customWidth="1"/>
    <col min="1284" max="1284" width="9.375" style="1156" bestFit="1" customWidth="1"/>
    <col min="1285" max="1285" width="13.5" style="1156" customWidth="1"/>
    <col min="1286" max="1286" width="9" style="1156"/>
    <col min="1287" max="1287" width="9.375" style="1156" bestFit="1" customWidth="1"/>
    <col min="1288" max="1289" width="9" style="1156"/>
    <col min="1290" max="1290" width="9.375" style="1156" bestFit="1" customWidth="1"/>
    <col min="1291" max="1291" width="4" style="1156" customWidth="1"/>
    <col min="1292" max="1292" width="5.125" style="1156" customWidth="1"/>
    <col min="1293" max="1293" width="13.75" style="1156" customWidth="1"/>
    <col min="1294" max="1536" width="9" style="1156"/>
    <col min="1537" max="1537" width="4.875" style="1156" customWidth="1"/>
    <col min="1538" max="1538" width="13.25" style="1156" customWidth="1"/>
    <col min="1539" max="1539" width="15.625" style="1156" customWidth="1"/>
    <col min="1540" max="1540" width="9.375" style="1156" bestFit="1" customWidth="1"/>
    <col min="1541" max="1541" width="13.5" style="1156" customWidth="1"/>
    <col min="1542" max="1542" width="9" style="1156"/>
    <col min="1543" max="1543" width="9.375" style="1156" bestFit="1" customWidth="1"/>
    <col min="1544" max="1545" width="9" style="1156"/>
    <col min="1546" max="1546" width="9.375" style="1156" bestFit="1" customWidth="1"/>
    <col min="1547" max="1547" width="4" style="1156" customWidth="1"/>
    <col min="1548" max="1548" width="5.125" style="1156" customWidth="1"/>
    <col min="1549" max="1549" width="13.75" style="1156" customWidth="1"/>
    <col min="1550" max="1792" width="9" style="1156"/>
    <col min="1793" max="1793" width="4.875" style="1156" customWidth="1"/>
    <col min="1794" max="1794" width="13.25" style="1156" customWidth="1"/>
    <col min="1795" max="1795" width="15.625" style="1156" customWidth="1"/>
    <col min="1796" max="1796" width="9.375" style="1156" bestFit="1" customWidth="1"/>
    <col min="1797" max="1797" width="13.5" style="1156" customWidth="1"/>
    <col min="1798" max="1798" width="9" style="1156"/>
    <col min="1799" max="1799" width="9.375" style="1156" bestFit="1" customWidth="1"/>
    <col min="1800" max="1801" width="9" style="1156"/>
    <col min="1802" max="1802" width="9.375" style="1156" bestFit="1" customWidth="1"/>
    <col min="1803" max="1803" width="4" style="1156" customWidth="1"/>
    <col min="1804" max="1804" width="5.125" style="1156" customWidth="1"/>
    <col min="1805" max="1805" width="13.75" style="1156" customWidth="1"/>
    <col min="1806" max="2048" width="9" style="1156"/>
    <col min="2049" max="2049" width="4.875" style="1156" customWidth="1"/>
    <col min="2050" max="2050" width="13.25" style="1156" customWidth="1"/>
    <col min="2051" max="2051" width="15.625" style="1156" customWidth="1"/>
    <col min="2052" max="2052" width="9.375" style="1156" bestFit="1" customWidth="1"/>
    <col min="2053" max="2053" width="13.5" style="1156" customWidth="1"/>
    <col min="2054" max="2054" width="9" style="1156"/>
    <col min="2055" max="2055" width="9.375" style="1156" bestFit="1" customWidth="1"/>
    <col min="2056" max="2057" width="9" style="1156"/>
    <col min="2058" max="2058" width="9.375" style="1156" bestFit="1" customWidth="1"/>
    <col min="2059" max="2059" width="4" style="1156" customWidth="1"/>
    <col min="2060" max="2060" width="5.125" style="1156" customWidth="1"/>
    <col min="2061" max="2061" width="13.75" style="1156" customWidth="1"/>
    <col min="2062" max="2304" width="9" style="1156"/>
    <col min="2305" max="2305" width="4.875" style="1156" customWidth="1"/>
    <col min="2306" max="2306" width="13.25" style="1156" customWidth="1"/>
    <col min="2307" max="2307" width="15.625" style="1156" customWidth="1"/>
    <col min="2308" max="2308" width="9.375" style="1156" bestFit="1" customWidth="1"/>
    <col min="2309" max="2309" width="13.5" style="1156" customWidth="1"/>
    <col min="2310" max="2310" width="9" style="1156"/>
    <col min="2311" max="2311" width="9.375" style="1156" bestFit="1" customWidth="1"/>
    <col min="2312" max="2313" width="9" style="1156"/>
    <col min="2314" max="2314" width="9.375" style="1156" bestFit="1" customWidth="1"/>
    <col min="2315" max="2315" width="4" style="1156" customWidth="1"/>
    <col min="2316" max="2316" width="5.125" style="1156" customWidth="1"/>
    <col min="2317" max="2317" width="13.75" style="1156" customWidth="1"/>
    <col min="2318" max="2560" width="9" style="1156"/>
    <col min="2561" max="2561" width="4.875" style="1156" customWidth="1"/>
    <col min="2562" max="2562" width="13.25" style="1156" customWidth="1"/>
    <col min="2563" max="2563" width="15.625" style="1156" customWidth="1"/>
    <col min="2564" max="2564" width="9.375" style="1156" bestFit="1" customWidth="1"/>
    <col min="2565" max="2565" width="13.5" style="1156" customWidth="1"/>
    <col min="2566" max="2566" width="9" style="1156"/>
    <col min="2567" max="2567" width="9.375" style="1156" bestFit="1" customWidth="1"/>
    <col min="2568" max="2569" width="9" style="1156"/>
    <col min="2570" max="2570" width="9.375" style="1156" bestFit="1" customWidth="1"/>
    <col min="2571" max="2571" width="4" style="1156" customWidth="1"/>
    <col min="2572" max="2572" width="5.125" style="1156" customWidth="1"/>
    <col min="2573" max="2573" width="13.75" style="1156" customWidth="1"/>
    <col min="2574" max="2816" width="9" style="1156"/>
    <col min="2817" max="2817" width="4.875" style="1156" customWidth="1"/>
    <col min="2818" max="2818" width="13.25" style="1156" customWidth="1"/>
    <col min="2819" max="2819" width="15.625" style="1156" customWidth="1"/>
    <col min="2820" max="2820" width="9.375" style="1156" bestFit="1" customWidth="1"/>
    <col min="2821" max="2821" width="13.5" style="1156" customWidth="1"/>
    <col min="2822" max="2822" width="9" style="1156"/>
    <col min="2823" max="2823" width="9.375" style="1156" bestFit="1" customWidth="1"/>
    <col min="2824" max="2825" width="9" style="1156"/>
    <col min="2826" max="2826" width="9.375" style="1156" bestFit="1" customWidth="1"/>
    <col min="2827" max="2827" width="4" style="1156" customWidth="1"/>
    <col min="2828" max="2828" width="5.125" style="1156" customWidth="1"/>
    <col min="2829" max="2829" width="13.75" style="1156" customWidth="1"/>
    <col min="2830" max="3072" width="9" style="1156"/>
    <col min="3073" max="3073" width="4.875" style="1156" customWidth="1"/>
    <col min="3074" max="3074" width="13.25" style="1156" customWidth="1"/>
    <col min="3075" max="3075" width="15.625" style="1156" customWidth="1"/>
    <col min="3076" max="3076" width="9.375" style="1156" bestFit="1" customWidth="1"/>
    <col min="3077" max="3077" width="13.5" style="1156" customWidth="1"/>
    <col min="3078" max="3078" width="9" style="1156"/>
    <col min="3079" max="3079" width="9.375" style="1156" bestFit="1" customWidth="1"/>
    <col min="3080" max="3081" width="9" style="1156"/>
    <col min="3082" max="3082" width="9.375" style="1156" bestFit="1" customWidth="1"/>
    <col min="3083" max="3083" width="4" style="1156" customWidth="1"/>
    <col min="3084" max="3084" width="5.125" style="1156" customWidth="1"/>
    <col min="3085" max="3085" width="13.75" style="1156" customWidth="1"/>
    <col min="3086" max="3328" width="9" style="1156"/>
    <col min="3329" max="3329" width="4.875" style="1156" customWidth="1"/>
    <col min="3330" max="3330" width="13.25" style="1156" customWidth="1"/>
    <col min="3331" max="3331" width="15.625" style="1156" customWidth="1"/>
    <col min="3332" max="3332" width="9.375" style="1156" bestFit="1" customWidth="1"/>
    <col min="3333" max="3333" width="13.5" style="1156" customWidth="1"/>
    <col min="3334" max="3334" width="9" style="1156"/>
    <col min="3335" max="3335" width="9.375" style="1156" bestFit="1" customWidth="1"/>
    <col min="3336" max="3337" width="9" style="1156"/>
    <col min="3338" max="3338" width="9.375" style="1156" bestFit="1" customWidth="1"/>
    <col min="3339" max="3339" width="4" style="1156" customWidth="1"/>
    <col min="3340" max="3340" width="5.125" style="1156" customWidth="1"/>
    <col min="3341" max="3341" width="13.75" style="1156" customWidth="1"/>
    <col min="3342" max="3584" width="9" style="1156"/>
    <col min="3585" max="3585" width="4.875" style="1156" customWidth="1"/>
    <col min="3586" max="3586" width="13.25" style="1156" customWidth="1"/>
    <col min="3587" max="3587" width="15.625" style="1156" customWidth="1"/>
    <col min="3588" max="3588" width="9.375" style="1156" bestFit="1" customWidth="1"/>
    <col min="3589" max="3589" width="13.5" style="1156" customWidth="1"/>
    <col min="3590" max="3590" width="9" style="1156"/>
    <col min="3591" max="3591" width="9.375" style="1156" bestFit="1" customWidth="1"/>
    <col min="3592" max="3593" width="9" style="1156"/>
    <col min="3594" max="3594" width="9.375" style="1156" bestFit="1" customWidth="1"/>
    <col min="3595" max="3595" width="4" style="1156" customWidth="1"/>
    <col min="3596" max="3596" width="5.125" style="1156" customWidth="1"/>
    <col min="3597" max="3597" width="13.75" style="1156" customWidth="1"/>
    <col min="3598" max="3840" width="9" style="1156"/>
    <col min="3841" max="3841" width="4.875" style="1156" customWidth="1"/>
    <col min="3842" max="3842" width="13.25" style="1156" customWidth="1"/>
    <col min="3843" max="3843" width="15.625" style="1156" customWidth="1"/>
    <col min="3844" max="3844" width="9.375" style="1156" bestFit="1" customWidth="1"/>
    <col min="3845" max="3845" width="13.5" style="1156" customWidth="1"/>
    <col min="3846" max="3846" width="9" style="1156"/>
    <col min="3847" max="3847" width="9.375" style="1156" bestFit="1" customWidth="1"/>
    <col min="3848" max="3849" width="9" style="1156"/>
    <col min="3850" max="3850" width="9.375" style="1156" bestFit="1" customWidth="1"/>
    <col min="3851" max="3851" width="4" style="1156" customWidth="1"/>
    <col min="3852" max="3852" width="5.125" style="1156" customWidth="1"/>
    <col min="3853" max="3853" width="13.75" style="1156" customWidth="1"/>
    <col min="3854" max="4096" width="9" style="1156"/>
    <col min="4097" max="4097" width="4.875" style="1156" customWidth="1"/>
    <col min="4098" max="4098" width="13.25" style="1156" customWidth="1"/>
    <col min="4099" max="4099" width="15.625" style="1156" customWidth="1"/>
    <col min="4100" max="4100" width="9.375" style="1156" bestFit="1" customWidth="1"/>
    <col min="4101" max="4101" width="13.5" style="1156" customWidth="1"/>
    <col min="4102" max="4102" width="9" style="1156"/>
    <col min="4103" max="4103" width="9.375" style="1156" bestFit="1" customWidth="1"/>
    <col min="4104" max="4105" width="9" style="1156"/>
    <col min="4106" max="4106" width="9.375" style="1156" bestFit="1" customWidth="1"/>
    <col min="4107" max="4107" width="4" style="1156" customWidth="1"/>
    <col min="4108" max="4108" width="5.125" style="1156" customWidth="1"/>
    <col min="4109" max="4109" width="13.75" style="1156" customWidth="1"/>
    <col min="4110" max="4352" width="9" style="1156"/>
    <col min="4353" max="4353" width="4.875" style="1156" customWidth="1"/>
    <col min="4354" max="4354" width="13.25" style="1156" customWidth="1"/>
    <col min="4355" max="4355" width="15.625" style="1156" customWidth="1"/>
    <col min="4356" max="4356" width="9.375" style="1156" bestFit="1" customWidth="1"/>
    <col min="4357" max="4357" width="13.5" style="1156" customWidth="1"/>
    <col min="4358" max="4358" width="9" style="1156"/>
    <col min="4359" max="4359" width="9.375" style="1156" bestFit="1" customWidth="1"/>
    <col min="4360" max="4361" width="9" style="1156"/>
    <col min="4362" max="4362" width="9.375" style="1156" bestFit="1" customWidth="1"/>
    <col min="4363" max="4363" width="4" style="1156" customWidth="1"/>
    <col min="4364" max="4364" width="5.125" style="1156" customWidth="1"/>
    <col min="4365" max="4365" width="13.75" style="1156" customWidth="1"/>
    <col min="4366" max="4608" width="9" style="1156"/>
    <col min="4609" max="4609" width="4.875" style="1156" customWidth="1"/>
    <col min="4610" max="4610" width="13.25" style="1156" customWidth="1"/>
    <col min="4611" max="4611" width="15.625" style="1156" customWidth="1"/>
    <col min="4612" max="4612" width="9.375" style="1156" bestFit="1" customWidth="1"/>
    <col min="4613" max="4613" width="13.5" style="1156" customWidth="1"/>
    <col min="4614" max="4614" width="9" style="1156"/>
    <col min="4615" max="4615" width="9.375" style="1156" bestFit="1" customWidth="1"/>
    <col min="4616" max="4617" width="9" style="1156"/>
    <col min="4618" max="4618" width="9.375" style="1156" bestFit="1" customWidth="1"/>
    <col min="4619" max="4619" width="4" style="1156" customWidth="1"/>
    <col min="4620" max="4620" width="5.125" style="1156" customWidth="1"/>
    <col min="4621" max="4621" width="13.75" style="1156" customWidth="1"/>
    <col min="4622" max="4864" width="9" style="1156"/>
    <col min="4865" max="4865" width="4.875" style="1156" customWidth="1"/>
    <col min="4866" max="4866" width="13.25" style="1156" customWidth="1"/>
    <col min="4867" max="4867" width="15.625" style="1156" customWidth="1"/>
    <col min="4868" max="4868" width="9.375" style="1156" bestFit="1" customWidth="1"/>
    <col min="4869" max="4869" width="13.5" style="1156" customWidth="1"/>
    <col min="4870" max="4870" width="9" style="1156"/>
    <col min="4871" max="4871" width="9.375" style="1156" bestFit="1" customWidth="1"/>
    <col min="4872" max="4873" width="9" style="1156"/>
    <col min="4874" max="4874" width="9.375" style="1156" bestFit="1" customWidth="1"/>
    <col min="4875" max="4875" width="4" style="1156" customWidth="1"/>
    <col min="4876" max="4876" width="5.125" style="1156" customWidth="1"/>
    <col min="4877" max="4877" width="13.75" style="1156" customWidth="1"/>
    <col min="4878" max="5120" width="9" style="1156"/>
    <col min="5121" max="5121" width="4.875" style="1156" customWidth="1"/>
    <col min="5122" max="5122" width="13.25" style="1156" customWidth="1"/>
    <col min="5123" max="5123" width="15.625" style="1156" customWidth="1"/>
    <col min="5124" max="5124" width="9.375" style="1156" bestFit="1" customWidth="1"/>
    <col min="5125" max="5125" width="13.5" style="1156" customWidth="1"/>
    <col min="5126" max="5126" width="9" style="1156"/>
    <col min="5127" max="5127" width="9.375" style="1156" bestFit="1" customWidth="1"/>
    <col min="5128" max="5129" width="9" style="1156"/>
    <col min="5130" max="5130" width="9.375" style="1156" bestFit="1" customWidth="1"/>
    <col min="5131" max="5131" width="4" style="1156" customWidth="1"/>
    <col min="5132" max="5132" width="5.125" style="1156" customWidth="1"/>
    <col min="5133" max="5133" width="13.75" style="1156" customWidth="1"/>
    <col min="5134" max="5376" width="9" style="1156"/>
    <col min="5377" max="5377" width="4.875" style="1156" customWidth="1"/>
    <col min="5378" max="5378" width="13.25" style="1156" customWidth="1"/>
    <col min="5379" max="5379" width="15.625" style="1156" customWidth="1"/>
    <col min="5380" max="5380" width="9.375" style="1156" bestFit="1" customWidth="1"/>
    <col min="5381" max="5381" width="13.5" style="1156" customWidth="1"/>
    <col min="5382" max="5382" width="9" style="1156"/>
    <col min="5383" max="5383" width="9.375" style="1156" bestFit="1" customWidth="1"/>
    <col min="5384" max="5385" width="9" style="1156"/>
    <col min="5386" max="5386" width="9.375" style="1156" bestFit="1" customWidth="1"/>
    <col min="5387" max="5387" width="4" style="1156" customWidth="1"/>
    <col min="5388" max="5388" width="5.125" style="1156" customWidth="1"/>
    <col min="5389" max="5389" width="13.75" style="1156" customWidth="1"/>
    <col min="5390" max="5632" width="9" style="1156"/>
    <col min="5633" max="5633" width="4.875" style="1156" customWidth="1"/>
    <col min="5634" max="5634" width="13.25" style="1156" customWidth="1"/>
    <col min="5635" max="5635" width="15.625" style="1156" customWidth="1"/>
    <col min="5636" max="5636" width="9.375" style="1156" bestFit="1" customWidth="1"/>
    <col min="5637" max="5637" width="13.5" style="1156" customWidth="1"/>
    <col min="5638" max="5638" width="9" style="1156"/>
    <col min="5639" max="5639" width="9.375" style="1156" bestFit="1" customWidth="1"/>
    <col min="5640" max="5641" width="9" style="1156"/>
    <col min="5642" max="5642" width="9.375" style="1156" bestFit="1" customWidth="1"/>
    <col min="5643" max="5643" width="4" style="1156" customWidth="1"/>
    <col min="5644" max="5644" width="5.125" style="1156" customWidth="1"/>
    <col min="5645" max="5645" width="13.75" style="1156" customWidth="1"/>
    <col min="5646" max="5888" width="9" style="1156"/>
    <col min="5889" max="5889" width="4.875" style="1156" customWidth="1"/>
    <col min="5890" max="5890" width="13.25" style="1156" customWidth="1"/>
    <col min="5891" max="5891" width="15.625" style="1156" customWidth="1"/>
    <col min="5892" max="5892" width="9.375" style="1156" bestFit="1" customWidth="1"/>
    <col min="5893" max="5893" width="13.5" style="1156" customWidth="1"/>
    <col min="5894" max="5894" width="9" style="1156"/>
    <col min="5895" max="5895" width="9.375" style="1156" bestFit="1" customWidth="1"/>
    <col min="5896" max="5897" width="9" style="1156"/>
    <col min="5898" max="5898" width="9.375" style="1156" bestFit="1" customWidth="1"/>
    <col min="5899" max="5899" width="4" style="1156" customWidth="1"/>
    <col min="5900" max="5900" width="5.125" style="1156" customWidth="1"/>
    <col min="5901" max="5901" width="13.75" style="1156" customWidth="1"/>
    <col min="5902" max="6144" width="9" style="1156"/>
    <col min="6145" max="6145" width="4.875" style="1156" customWidth="1"/>
    <col min="6146" max="6146" width="13.25" style="1156" customWidth="1"/>
    <col min="6147" max="6147" width="15.625" style="1156" customWidth="1"/>
    <col min="6148" max="6148" width="9.375" style="1156" bestFit="1" customWidth="1"/>
    <col min="6149" max="6149" width="13.5" style="1156" customWidth="1"/>
    <col min="6150" max="6150" width="9" style="1156"/>
    <col min="6151" max="6151" width="9.375" style="1156" bestFit="1" customWidth="1"/>
    <col min="6152" max="6153" width="9" style="1156"/>
    <col min="6154" max="6154" width="9.375" style="1156" bestFit="1" customWidth="1"/>
    <col min="6155" max="6155" width="4" style="1156" customWidth="1"/>
    <col min="6156" max="6156" width="5.125" style="1156" customWidth="1"/>
    <col min="6157" max="6157" width="13.75" style="1156" customWidth="1"/>
    <col min="6158" max="6400" width="9" style="1156"/>
    <col min="6401" max="6401" width="4.875" style="1156" customWidth="1"/>
    <col min="6402" max="6402" width="13.25" style="1156" customWidth="1"/>
    <col min="6403" max="6403" width="15.625" style="1156" customWidth="1"/>
    <col min="6404" max="6404" width="9.375" style="1156" bestFit="1" customWidth="1"/>
    <col min="6405" max="6405" width="13.5" style="1156" customWidth="1"/>
    <col min="6406" max="6406" width="9" style="1156"/>
    <col min="6407" max="6407" width="9.375" style="1156" bestFit="1" customWidth="1"/>
    <col min="6408" max="6409" width="9" style="1156"/>
    <col min="6410" max="6410" width="9.375" style="1156" bestFit="1" customWidth="1"/>
    <col min="6411" max="6411" width="4" style="1156" customWidth="1"/>
    <col min="6412" max="6412" width="5.125" style="1156" customWidth="1"/>
    <col min="6413" max="6413" width="13.75" style="1156" customWidth="1"/>
    <col min="6414" max="6656" width="9" style="1156"/>
    <col min="6657" max="6657" width="4.875" style="1156" customWidth="1"/>
    <col min="6658" max="6658" width="13.25" style="1156" customWidth="1"/>
    <col min="6659" max="6659" width="15.625" style="1156" customWidth="1"/>
    <col min="6660" max="6660" width="9.375" style="1156" bestFit="1" customWidth="1"/>
    <col min="6661" max="6661" width="13.5" style="1156" customWidth="1"/>
    <col min="6662" max="6662" width="9" style="1156"/>
    <col min="6663" max="6663" width="9.375" style="1156" bestFit="1" customWidth="1"/>
    <col min="6664" max="6665" width="9" style="1156"/>
    <col min="6666" max="6666" width="9.375" style="1156" bestFit="1" customWidth="1"/>
    <col min="6667" max="6667" width="4" style="1156" customWidth="1"/>
    <col min="6668" max="6668" width="5.125" style="1156" customWidth="1"/>
    <col min="6669" max="6669" width="13.75" style="1156" customWidth="1"/>
    <col min="6670" max="6912" width="9" style="1156"/>
    <col min="6913" max="6913" width="4.875" style="1156" customWidth="1"/>
    <col min="6914" max="6914" width="13.25" style="1156" customWidth="1"/>
    <col min="6915" max="6915" width="15.625" style="1156" customWidth="1"/>
    <col min="6916" max="6916" width="9.375" style="1156" bestFit="1" customWidth="1"/>
    <col min="6917" max="6917" width="13.5" style="1156" customWidth="1"/>
    <col min="6918" max="6918" width="9" style="1156"/>
    <col min="6919" max="6919" width="9.375" style="1156" bestFit="1" customWidth="1"/>
    <col min="6920" max="6921" width="9" style="1156"/>
    <col min="6922" max="6922" width="9.375" style="1156" bestFit="1" customWidth="1"/>
    <col min="6923" max="6923" width="4" style="1156" customWidth="1"/>
    <col min="6924" max="6924" width="5.125" style="1156" customWidth="1"/>
    <col min="6925" max="6925" width="13.75" style="1156" customWidth="1"/>
    <col min="6926" max="7168" width="9" style="1156"/>
    <col min="7169" max="7169" width="4.875" style="1156" customWidth="1"/>
    <col min="7170" max="7170" width="13.25" style="1156" customWidth="1"/>
    <col min="7171" max="7171" width="15.625" style="1156" customWidth="1"/>
    <col min="7172" max="7172" width="9.375" style="1156" bestFit="1" customWidth="1"/>
    <col min="7173" max="7173" width="13.5" style="1156" customWidth="1"/>
    <col min="7174" max="7174" width="9" style="1156"/>
    <col min="7175" max="7175" width="9.375" style="1156" bestFit="1" customWidth="1"/>
    <col min="7176" max="7177" width="9" style="1156"/>
    <col min="7178" max="7178" width="9.375" style="1156" bestFit="1" customWidth="1"/>
    <col min="7179" max="7179" width="4" style="1156" customWidth="1"/>
    <col min="7180" max="7180" width="5.125" style="1156" customWidth="1"/>
    <col min="7181" max="7181" width="13.75" style="1156" customWidth="1"/>
    <col min="7182" max="7424" width="9" style="1156"/>
    <col min="7425" max="7425" width="4.875" style="1156" customWidth="1"/>
    <col min="7426" max="7426" width="13.25" style="1156" customWidth="1"/>
    <col min="7427" max="7427" width="15.625" style="1156" customWidth="1"/>
    <col min="7428" max="7428" width="9.375" style="1156" bestFit="1" customWidth="1"/>
    <col min="7429" max="7429" width="13.5" style="1156" customWidth="1"/>
    <col min="7430" max="7430" width="9" style="1156"/>
    <col min="7431" max="7431" width="9.375" style="1156" bestFit="1" customWidth="1"/>
    <col min="7432" max="7433" width="9" style="1156"/>
    <col min="7434" max="7434" width="9.375" style="1156" bestFit="1" customWidth="1"/>
    <col min="7435" max="7435" width="4" style="1156" customWidth="1"/>
    <col min="7436" max="7436" width="5.125" style="1156" customWidth="1"/>
    <col min="7437" max="7437" width="13.75" style="1156" customWidth="1"/>
    <col min="7438" max="7680" width="9" style="1156"/>
    <col min="7681" max="7681" width="4.875" style="1156" customWidth="1"/>
    <col min="7682" max="7682" width="13.25" style="1156" customWidth="1"/>
    <col min="7683" max="7683" width="15.625" style="1156" customWidth="1"/>
    <col min="7684" max="7684" width="9.375" style="1156" bestFit="1" customWidth="1"/>
    <col min="7685" max="7685" width="13.5" style="1156" customWidth="1"/>
    <col min="7686" max="7686" width="9" style="1156"/>
    <col min="7687" max="7687" width="9.375" style="1156" bestFit="1" customWidth="1"/>
    <col min="7688" max="7689" width="9" style="1156"/>
    <col min="7690" max="7690" width="9.375" style="1156" bestFit="1" customWidth="1"/>
    <col min="7691" max="7691" width="4" style="1156" customWidth="1"/>
    <col min="7692" max="7692" width="5.125" style="1156" customWidth="1"/>
    <col min="7693" max="7693" width="13.75" style="1156" customWidth="1"/>
    <col min="7694" max="7936" width="9" style="1156"/>
    <col min="7937" max="7937" width="4.875" style="1156" customWidth="1"/>
    <col min="7938" max="7938" width="13.25" style="1156" customWidth="1"/>
    <col min="7939" max="7939" width="15.625" style="1156" customWidth="1"/>
    <col min="7940" max="7940" width="9.375" style="1156" bestFit="1" customWidth="1"/>
    <col min="7941" max="7941" width="13.5" style="1156" customWidth="1"/>
    <col min="7942" max="7942" width="9" style="1156"/>
    <col min="7943" max="7943" width="9.375" style="1156" bestFit="1" customWidth="1"/>
    <col min="7944" max="7945" width="9" style="1156"/>
    <col min="7946" max="7946" width="9.375" style="1156" bestFit="1" customWidth="1"/>
    <col min="7947" max="7947" width="4" style="1156" customWidth="1"/>
    <col min="7948" max="7948" width="5.125" style="1156" customWidth="1"/>
    <col min="7949" max="7949" width="13.75" style="1156" customWidth="1"/>
    <col min="7950" max="8192" width="9" style="1156"/>
    <col min="8193" max="8193" width="4.875" style="1156" customWidth="1"/>
    <col min="8194" max="8194" width="13.25" style="1156" customWidth="1"/>
    <col min="8195" max="8195" width="15.625" style="1156" customWidth="1"/>
    <col min="8196" max="8196" width="9.375" style="1156" bestFit="1" customWidth="1"/>
    <col min="8197" max="8197" width="13.5" style="1156" customWidth="1"/>
    <col min="8198" max="8198" width="9" style="1156"/>
    <col min="8199" max="8199" width="9.375" style="1156" bestFit="1" customWidth="1"/>
    <col min="8200" max="8201" width="9" style="1156"/>
    <col min="8202" max="8202" width="9.375" style="1156" bestFit="1" customWidth="1"/>
    <col min="8203" max="8203" width="4" style="1156" customWidth="1"/>
    <col min="8204" max="8204" width="5.125" style="1156" customWidth="1"/>
    <col min="8205" max="8205" width="13.75" style="1156" customWidth="1"/>
    <col min="8206" max="8448" width="9" style="1156"/>
    <col min="8449" max="8449" width="4.875" style="1156" customWidth="1"/>
    <col min="8450" max="8450" width="13.25" style="1156" customWidth="1"/>
    <col min="8451" max="8451" width="15.625" style="1156" customWidth="1"/>
    <col min="8452" max="8452" width="9.375" style="1156" bestFit="1" customWidth="1"/>
    <col min="8453" max="8453" width="13.5" style="1156" customWidth="1"/>
    <col min="8454" max="8454" width="9" style="1156"/>
    <col min="8455" max="8455" width="9.375" style="1156" bestFit="1" customWidth="1"/>
    <col min="8456" max="8457" width="9" style="1156"/>
    <col min="8458" max="8458" width="9.375" style="1156" bestFit="1" customWidth="1"/>
    <col min="8459" max="8459" width="4" style="1156" customWidth="1"/>
    <col min="8460" max="8460" width="5.125" style="1156" customWidth="1"/>
    <col min="8461" max="8461" width="13.75" style="1156" customWidth="1"/>
    <col min="8462" max="8704" width="9" style="1156"/>
    <col min="8705" max="8705" width="4.875" style="1156" customWidth="1"/>
    <col min="8706" max="8706" width="13.25" style="1156" customWidth="1"/>
    <col min="8707" max="8707" width="15.625" style="1156" customWidth="1"/>
    <col min="8708" max="8708" width="9.375" style="1156" bestFit="1" customWidth="1"/>
    <col min="8709" max="8709" width="13.5" style="1156" customWidth="1"/>
    <col min="8710" max="8710" width="9" style="1156"/>
    <col min="8711" max="8711" width="9.375" style="1156" bestFit="1" customWidth="1"/>
    <col min="8712" max="8713" width="9" style="1156"/>
    <col min="8714" max="8714" width="9.375" style="1156" bestFit="1" customWidth="1"/>
    <col min="8715" max="8715" width="4" style="1156" customWidth="1"/>
    <col min="8716" max="8716" width="5.125" style="1156" customWidth="1"/>
    <col min="8717" max="8717" width="13.75" style="1156" customWidth="1"/>
    <col min="8718" max="8960" width="9" style="1156"/>
    <col min="8961" max="8961" width="4.875" style="1156" customWidth="1"/>
    <col min="8962" max="8962" width="13.25" style="1156" customWidth="1"/>
    <col min="8963" max="8963" width="15.625" style="1156" customWidth="1"/>
    <col min="8964" max="8964" width="9.375" style="1156" bestFit="1" customWidth="1"/>
    <col min="8965" max="8965" width="13.5" style="1156" customWidth="1"/>
    <col min="8966" max="8966" width="9" style="1156"/>
    <col min="8967" max="8967" width="9.375" style="1156" bestFit="1" customWidth="1"/>
    <col min="8968" max="8969" width="9" style="1156"/>
    <col min="8970" max="8970" width="9.375" style="1156" bestFit="1" customWidth="1"/>
    <col min="8971" max="8971" width="4" style="1156" customWidth="1"/>
    <col min="8972" max="8972" width="5.125" style="1156" customWidth="1"/>
    <col min="8973" max="8973" width="13.75" style="1156" customWidth="1"/>
    <col min="8974" max="9216" width="9" style="1156"/>
    <col min="9217" max="9217" width="4.875" style="1156" customWidth="1"/>
    <col min="9218" max="9218" width="13.25" style="1156" customWidth="1"/>
    <col min="9219" max="9219" width="15.625" style="1156" customWidth="1"/>
    <col min="9220" max="9220" width="9.375" style="1156" bestFit="1" customWidth="1"/>
    <col min="9221" max="9221" width="13.5" style="1156" customWidth="1"/>
    <col min="9222" max="9222" width="9" style="1156"/>
    <col min="9223" max="9223" width="9.375" style="1156" bestFit="1" customWidth="1"/>
    <col min="9224" max="9225" width="9" style="1156"/>
    <col min="9226" max="9226" width="9.375" style="1156" bestFit="1" customWidth="1"/>
    <col min="9227" max="9227" width="4" style="1156" customWidth="1"/>
    <col min="9228" max="9228" width="5.125" style="1156" customWidth="1"/>
    <col min="9229" max="9229" width="13.75" style="1156" customWidth="1"/>
    <col min="9230" max="9472" width="9" style="1156"/>
    <col min="9473" max="9473" width="4.875" style="1156" customWidth="1"/>
    <col min="9474" max="9474" width="13.25" style="1156" customWidth="1"/>
    <col min="9475" max="9475" width="15.625" style="1156" customWidth="1"/>
    <col min="9476" max="9476" width="9.375" style="1156" bestFit="1" customWidth="1"/>
    <col min="9477" max="9477" width="13.5" style="1156" customWidth="1"/>
    <col min="9478" max="9478" width="9" style="1156"/>
    <col min="9479" max="9479" width="9.375" style="1156" bestFit="1" customWidth="1"/>
    <col min="9480" max="9481" width="9" style="1156"/>
    <col min="9482" max="9482" width="9.375" style="1156" bestFit="1" customWidth="1"/>
    <col min="9483" max="9483" width="4" style="1156" customWidth="1"/>
    <col min="9484" max="9484" width="5.125" style="1156" customWidth="1"/>
    <col min="9485" max="9485" width="13.75" style="1156" customWidth="1"/>
    <col min="9486" max="9728" width="9" style="1156"/>
    <col min="9729" max="9729" width="4.875" style="1156" customWidth="1"/>
    <col min="9730" max="9730" width="13.25" style="1156" customWidth="1"/>
    <col min="9731" max="9731" width="15.625" style="1156" customWidth="1"/>
    <col min="9732" max="9732" width="9.375" style="1156" bestFit="1" customWidth="1"/>
    <col min="9733" max="9733" width="13.5" style="1156" customWidth="1"/>
    <col min="9734" max="9734" width="9" style="1156"/>
    <col min="9735" max="9735" width="9.375" style="1156" bestFit="1" customWidth="1"/>
    <col min="9736" max="9737" width="9" style="1156"/>
    <col min="9738" max="9738" width="9.375" style="1156" bestFit="1" customWidth="1"/>
    <col min="9739" max="9739" width="4" style="1156" customWidth="1"/>
    <col min="9740" max="9740" width="5.125" style="1156" customWidth="1"/>
    <col min="9741" max="9741" width="13.75" style="1156" customWidth="1"/>
    <col min="9742" max="9984" width="9" style="1156"/>
    <col min="9985" max="9985" width="4.875" style="1156" customWidth="1"/>
    <col min="9986" max="9986" width="13.25" style="1156" customWidth="1"/>
    <col min="9987" max="9987" width="15.625" style="1156" customWidth="1"/>
    <col min="9988" max="9988" width="9.375" style="1156" bestFit="1" customWidth="1"/>
    <col min="9989" max="9989" width="13.5" style="1156" customWidth="1"/>
    <col min="9990" max="9990" width="9" style="1156"/>
    <col min="9991" max="9991" width="9.375" style="1156" bestFit="1" customWidth="1"/>
    <col min="9992" max="9993" width="9" style="1156"/>
    <col min="9994" max="9994" width="9.375" style="1156" bestFit="1" customWidth="1"/>
    <col min="9995" max="9995" width="4" style="1156" customWidth="1"/>
    <col min="9996" max="9996" width="5.125" style="1156" customWidth="1"/>
    <col min="9997" max="9997" width="13.75" style="1156" customWidth="1"/>
    <col min="9998" max="10240" width="9" style="1156"/>
    <col min="10241" max="10241" width="4.875" style="1156" customWidth="1"/>
    <col min="10242" max="10242" width="13.25" style="1156" customWidth="1"/>
    <col min="10243" max="10243" width="15.625" style="1156" customWidth="1"/>
    <col min="10244" max="10244" width="9.375" style="1156" bestFit="1" customWidth="1"/>
    <col min="10245" max="10245" width="13.5" style="1156" customWidth="1"/>
    <col min="10246" max="10246" width="9" style="1156"/>
    <col min="10247" max="10247" width="9.375" style="1156" bestFit="1" customWidth="1"/>
    <col min="10248" max="10249" width="9" style="1156"/>
    <col min="10250" max="10250" width="9.375" style="1156" bestFit="1" customWidth="1"/>
    <col min="10251" max="10251" width="4" style="1156" customWidth="1"/>
    <col min="10252" max="10252" width="5.125" style="1156" customWidth="1"/>
    <col min="10253" max="10253" width="13.75" style="1156" customWidth="1"/>
    <col min="10254" max="10496" width="9" style="1156"/>
    <col min="10497" max="10497" width="4.875" style="1156" customWidth="1"/>
    <col min="10498" max="10498" width="13.25" style="1156" customWidth="1"/>
    <col min="10499" max="10499" width="15.625" style="1156" customWidth="1"/>
    <col min="10500" max="10500" width="9.375" style="1156" bestFit="1" customWidth="1"/>
    <col min="10501" max="10501" width="13.5" style="1156" customWidth="1"/>
    <col min="10502" max="10502" width="9" style="1156"/>
    <col min="10503" max="10503" width="9.375" style="1156" bestFit="1" customWidth="1"/>
    <col min="10504" max="10505" width="9" style="1156"/>
    <col min="10506" max="10506" width="9.375" style="1156" bestFit="1" customWidth="1"/>
    <col min="10507" max="10507" width="4" style="1156" customWidth="1"/>
    <col min="10508" max="10508" width="5.125" style="1156" customWidth="1"/>
    <col min="10509" max="10509" width="13.75" style="1156" customWidth="1"/>
    <col min="10510" max="10752" width="9" style="1156"/>
    <col min="10753" max="10753" width="4.875" style="1156" customWidth="1"/>
    <col min="10754" max="10754" width="13.25" style="1156" customWidth="1"/>
    <col min="10755" max="10755" width="15.625" style="1156" customWidth="1"/>
    <col min="10756" max="10756" width="9.375" style="1156" bestFit="1" customWidth="1"/>
    <col min="10757" max="10757" width="13.5" style="1156" customWidth="1"/>
    <col min="10758" max="10758" width="9" style="1156"/>
    <col min="10759" max="10759" width="9.375" style="1156" bestFit="1" customWidth="1"/>
    <col min="10760" max="10761" width="9" style="1156"/>
    <col min="10762" max="10762" width="9.375" style="1156" bestFit="1" customWidth="1"/>
    <col min="10763" max="10763" width="4" style="1156" customWidth="1"/>
    <col min="10764" max="10764" width="5.125" style="1156" customWidth="1"/>
    <col min="10765" max="10765" width="13.75" style="1156" customWidth="1"/>
    <col min="10766" max="11008" width="9" style="1156"/>
    <col min="11009" max="11009" width="4.875" style="1156" customWidth="1"/>
    <col min="11010" max="11010" width="13.25" style="1156" customWidth="1"/>
    <col min="11011" max="11011" width="15.625" style="1156" customWidth="1"/>
    <col min="11012" max="11012" width="9.375" style="1156" bestFit="1" customWidth="1"/>
    <col min="11013" max="11013" width="13.5" style="1156" customWidth="1"/>
    <col min="11014" max="11014" width="9" style="1156"/>
    <col min="11015" max="11015" width="9.375" style="1156" bestFit="1" customWidth="1"/>
    <col min="11016" max="11017" width="9" style="1156"/>
    <col min="11018" max="11018" width="9.375" style="1156" bestFit="1" customWidth="1"/>
    <col min="11019" max="11019" width="4" style="1156" customWidth="1"/>
    <col min="11020" max="11020" width="5.125" style="1156" customWidth="1"/>
    <col min="11021" max="11021" width="13.75" style="1156" customWidth="1"/>
    <col min="11022" max="11264" width="9" style="1156"/>
    <col min="11265" max="11265" width="4.875" style="1156" customWidth="1"/>
    <col min="11266" max="11266" width="13.25" style="1156" customWidth="1"/>
    <col min="11267" max="11267" width="15.625" style="1156" customWidth="1"/>
    <col min="11268" max="11268" width="9.375" style="1156" bestFit="1" customWidth="1"/>
    <col min="11269" max="11269" width="13.5" style="1156" customWidth="1"/>
    <col min="11270" max="11270" width="9" style="1156"/>
    <col min="11271" max="11271" width="9.375" style="1156" bestFit="1" customWidth="1"/>
    <col min="11272" max="11273" width="9" style="1156"/>
    <col min="11274" max="11274" width="9.375" style="1156" bestFit="1" customWidth="1"/>
    <col min="11275" max="11275" width="4" style="1156" customWidth="1"/>
    <col min="11276" max="11276" width="5.125" style="1156" customWidth="1"/>
    <col min="11277" max="11277" width="13.75" style="1156" customWidth="1"/>
    <col min="11278" max="11520" width="9" style="1156"/>
    <col min="11521" max="11521" width="4.875" style="1156" customWidth="1"/>
    <col min="11522" max="11522" width="13.25" style="1156" customWidth="1"/>
    <col min="11523" max="11523" width="15.625" style="1156" customWidth="1"/>
    <col min="11524" max="11524" width="9.375" style="1156" bestFit="1" customWidth="1"/>
    <col min="11525" max="11525" width="13.5" style="1156" customWidth="1"/>
    <col min="11526" max="11526" width="9" style="1156"/>
    <col min="11527" max="11527" width="9.375" style="1156" bestFit="1" customWidth="1"/>
    <col min="11528" max="11529" width="9" style="1156"/>
    <col min="11530" max="11530" width="9.375" style="1156" bestFit="1" customWidth="1"/>
    <col min="11531" max="11531" width="4" style="1156" customWidth="1"/>
    <col min="11532" max="11532" width="5.125" style="1156" customWidth="1"/>
    <col min="11533" max="11533" width="13.75" style="1156" customWidth="1"/>
    <col min="11534" max="11776" width="9" style="1156"/>
    <col min="11777" max="11777" width="4.875" style="1156" customWidth="1"/>
    <col min="11778" max="11778" width="13.25" style="1156" customWidth="1"/>
    <col min="11779" max="11779" width="15.625" style="1156" customWidth="1"/>
    <col min="11780" max="11780" width="9.375" style="1156" bestFit="1" customWidth="1"/>
    <col min="11781" max="11781" width="13.5" style="1156" customWidth="1"/>
    <col min="11782" max="11782" width="9" style="1156"/>
    <col min="11783" max="11783" width="9.375" style="1156" bestFit="1" customWidth="1"/>
    <col min="11784" max="11785" width="9" style="1156"/>
    <col min="11786" max="11786" width="9.375" style="1156" bestFit="1" customWidth="1"/>
    <col min="11787" max="11787" width="4" style="1156" customWidth="1"/>
    <col min="11788" max="11788" width="5.125" style="1156" customWidth="1"/>
    <col min="11789" max="11789" width="13.75" style="1156" customWidth="1"/>
    <col min="11790" max="12032" width="9" style="1156"/>
    <col min="12033" max="12033" width="4.875" style="1156" customWidth="1"/>
    <col min="12034" max="12034" width="13.25" style="1156" customWidth="1"/>
    <col min="12035" max="12035" width="15.625" style="1156" customWidth="1"/>
    <col min="12036" max="12036" width="9.375" style="1156" bestFit="1" customWidth="1"/>
    <col min="12037" max="12037" width="13.5" style="1156" customWidth="1"/>
    <col min="12038" max="12038" width="9" style="1156"/>
    <col min="12039" max="12039" width="9.375" style="1156" bestFit="1" customWidth="1"/>
    <col min="12040" max="12041" width="9" style="1156"/>
    <col min="12042" max="12042" width="9.375" style="1156" bestFit="1" customWidth="1"/>
    <col min="12043" max="12043" width="4" style="1156" customWidth="1"/>
    <col min="12044" max="12044" width="5.125" style="1156" customWidth="1"/>
    <col min="12045" max="12045" width="13.75" style="1156" customWidth="1"/>
    <col min="12046" max="12288" width="9" style="1156"/>
    <col min="12289" max="12289" width="4.875" style="1156" customWidth="1"/>
    <col min="12290" max="12290" width="13.25" style="1156" customWidth="1"/>
    <col min="12291" max="12291" width="15.625" style="1156" customWidth="1"/>
    <col min="12292" max="12292" width="9.375" style="1156" bestFit="1" customWidth="1"/>
    <col min="12293" max="12293" width="13.5" style="1156" customWidth="1"/>
    <col min="12294" max="12294" width="9" style="1156"/>
    <col min="12295" max="12295" width="9.375" style="1156" bestFit="1" customWidth="1"/>
    <col min="12296" max="12297" width="9" style="1156"/>
    <col min="12298" max="12298" width="9.375" style="1156" bestFit="1" customWidth="1"/>
    <col min="12299" max="12299" width="4" style="1156" customWidth="1"/>
    <col min="12300" max="12300" width="5.125" style="1156" customWidth="1"/>
    <col min="12301" max="12301" width="13.75" style="1156" customWidth="1"/>
    <col min="12302" max="12544" width="9" style="1156"/>
    <col min="12545" max="12545" width="4.875" style="1156" customWidth="1"/>
    <col min="12546" max="12546" width="13.25" style="1156" customWidth="1"/>
    <col min="12547" max="12547" width="15.625" style="1156" customWidth="1"/>
    <col min="12548" max="12548" width="9.375" style="1156" bestFit="1" customWidth="1"/>
    <col min="12549" max="12549" width="13.5" style="1156" customWidth="1"/>
    <col min="12550" max="12550" width="9" style="1156"/>
    <col min="12551" max="12551" width="9.375" style="1156" bestFit="1" customWidth="1"/>
    <col min="12552" max="12553" width="9" style="1156"/>
    <col min="12554" max="12554" width="9.375" style="1156" bestFit="1" customWidth="1"/>
    <col min="12555" max="12555" width="4" style="1156" customWidth="1"/>
    <col min="12556" max="12556" width="5.125" style="1156" customWidth="1"/>
    <col min="12557" max="12557" width="13.75" style="1156" customWidth="1"/>
    <col min="12558" max="12800" width="9" style="1156"/>
    <col min="12801" max="12801" width="4.875" style="1156" customWidth="1"/>
    <col min="12802" max="12802" width="13.25" style="1156" customWidth="1"/>
    <col min="12803" max="12803" width="15.625" style="1156" customWidth="1"/>
    <col min="12804" max="12804" width="9.375" style="1156" bestFit="1" customWidth="1"/>
    <col min="12805" max="12805" width="13.5" style="1156" customWidth="1"/>
    <col min="12806" max="12806" width="9" style="1156"/>
    <col min="12807" max="12807" width="9.375" style="1156" bestFit="1" customWidth="1"/>
    <col min="12808" max="12809" width="9" style="1156"/>
    <col min="12810" max="12810" width="9.375" style="1156" bestFit="1" customWidth="1"/>
    <col min="12811" max="12811" width="4" style="1156" customWidth="1"/>
    <col min="12812" max="12812" width="5.125" style="1156" customWidth="1"/>
    <col min="12813" max="12813" width="13.75" style="1156" customWidth="1"/>
    <col min="12814" max="13056" width="9" style="1156"/>
    <col min="13057" max="13057" width="4.875" style="1156" customWidth="1"/>
    <col min="13058" max="13058" width="13.25" style="1156" customWidth="1"/>
    <col min="13059" max="13059" width="15.625" style="1156" customWidth="1"/>
    <col min="13060" max="13060" width="9.375" style="1156" bestFit="1" customWidth="1"/>
    <col min="13061" max="13061" width="13.5" style="1156" customWidth="1"/>
    <col min="13062" max="13062" width="9" style="1156"/>
    <col min="13063" max="13063" width="9.375" style="1156" bestFit="1" customWidth="1"/>
    <col min="13064" max="13065" width="9" style="1156"/>
    <col min="13066" max="13066" width="9.375" style="1156" bestFit="1" customWidth="1"/>
    <col min="13067" max="13067" width="4" style="1156" customWidth="1"/>
    <col min="13068" max="13068" width="5.125" style="1156" customWidth="1"/>
    <col min="13069" max="13069" width="13.75" style="1156" customWidth="1"/>
    <col min="13070" max="13312" width="9" style="1156"/>
    <col min="13313" max="13313" width="4.875" style="1156" customWidth="1"/>
    <col min="13314" max="13314" width="13.25" style="1156" customWidth="1"/>
    <col min="13315" max="13315" width="15.625" style="1156" customWidth="1"/>
    <col min="13316" max="13316" width="9.375" style="1156" bestFit="1" customWidth="1"/>
    <col min="13317" max="13317" width="13.5" style="1156" customWidth="1"/>
    <col min="13318" max="13318" width="9" style="1156"/>
    <col min="13319" max="13319" width="9.375" style="1156" bestFit="1" customWidth="1"/>
    <col min="13320" max="13321" width="9" style="1156"/>
    <col min="13322" max="13322" width="9.375" style="1156" bestFit="1" customWidth="1"/>
    <col min="13323" max="13323" width="4" style="1156" customWidth="1"/>
    <col min="13324" max="13324" width="5.125" style="1156" customWidth="1"/>
    <col min="13325" max="13325" width="13.75" style="1156" customWidth="1"/>
    <col min="13326" max="13568" width="9" style="1156"/>
    <col min="13569" max="13569" width="4.875" style="1156" customWidth="1"/>
    <col min="13570" max="13570" width="13.25" style="1156" customWidth="1"/>
    <col min="13571" max="13571" width="15.625" style="1156" customWidth="1"/>
    <col min="13572" max="13572" width="9.375" style="1156" bestFit="1" customWidth="1"/>
    <col min="13573" max="13573" width="13.5" style="1156" customWidth="1"/>
    <col min="13574" max="13574" width="9" style="1156"/>
    <col min="13575" max="13575" width="9.375" style="1156" bestFit="1" customWidth="1"/>
    <col min="13576" max="13577" width="9" style="1156"/>
    <col min="13578" max="13578" width="9.375" style="1156" bestFit="1" customWidth="1"/>
    <col min="13579" max="13579" width="4" style="1156" customWidth="1"/>
    <col min="13580" max="13580" width="5.125" style="1156" customWidth="1"/>
    <col min="13581" max="13581" width="13.75" style="1156" customWidth="1"/>
    <col min="13582" max="13824" width="9" style="1156"/>
    <col min="13825" max="13825" width="4.875" style="1156" customWidth="1"/>
    <col min="13826" max="13826" width="13.25" style="1156" customWidth="1"/>
    <col min="13827" max="13827" width="15.625" style="1156" customWidth="1"/>
    <col min="13828" max="13828" width="9.375" style="1156" bestFit="1" customWidth="1"/>
    <col min="13829" max="13829" width="13.5" style="1156" customWidth="1"/>
    <col min="13830" max="13830" width="9" style="1156"/>
    <col min="13831" max="13831" width="9.375" style="1156" bestFit="1" customWidth="1"/>
    <col min="13832" max="13833" width="9" style="1156"/>
    <col min="13834" max="13834" width="9.375" style="1156" bestFit="1" customWidth="1"/>
    <col min="13835" max="13835" width="4" style="1156" customWidth="1"/>
    <col min="13836" max="13836" width="5.125" style="1156" customWidth="1"/>
    <col min="13837" max="13837" width="13.75" style="1156" customWidth="1"/>
    <col min="13838" max="14080" width="9" style="1156"/>
    <col min="14081" max="14081" width="4.875" style="1156" customWidth="1"/>
    <col min="14082" max="14082" width="13.25" style="1156" customWidth="1"/>
    <col min="14083" max="14083" width="15.625" style="1156" customWidth="1"/>
    <col min="14084" max="14084" width="9.375" style="1156" bestFit="1" customWidth="1"/>
    <col min="14085" max="14085" width="13.5" style="1156" customWidth="1"/>
    <col min="14086" max="14086" width="9" style="1156"/>
    <col min="14087" max="14087" width="9.375" style="1156" bestFit="1" customWidth="1"/>
    <col min="14088" max="14089" width="9" style="1156"/>
    <col min="14090" max="14090" width="9.375" style="1156" bestFit="1" customWidth="1"/>
    <col min="14091" max="14091" width="4" style="1156" customWidth="1"/>
    <col min="14092" max="14092" width="5.125" style="1156" customWidth="1"/>
    <col min="14093" max="14093" width="13.75" style="1156" customWidth="1"/>
    <col min="14094" max="14336" width="9" style="1156"/>
    <col min="14337" max="14337" width="4.875" style="1156" customWidth="1"/>
    <col min="14338" max="14338" width="13.25" style="1156" customWidth="1"/>
    <col min="14339" max="14339" width="15.625" style="1156" customWidth="1"/>
    <col min="14340" max="14340" width="9.375" style="1156" bestFit="1" customWidth="1"/>
    <col min="14341" max="14341" width="13.5" style="1156" customWidth="1"/>
    <col min="14342" max="14342" width="9" style="1156"/>
    <col min="14343" max="14343" width="9.375" style="1156" bestFit="1" customWidth="1"/>
    <col min="14344" max="14345" width="9" style="1156"/>
    <col min="14346" max="14346" width="9.375" style="1156" bestFit="1" customWidth="1"/>
    <col min="14347" max="14347" width="4" style="1156" customWidth="1"/>
    <col min="14348" max="14348" width="5.125" style="1156" customWidth="1"/>
    <col min="14349" max="14349" width="13.75" style="1156" customWidth="1"/>
    <col min="14350" max="14592" width="9" style="1156"/>
    <col min="14593" max="14593" width="4.875" style="1156" customWidth="1"/>
    <col min="14594" max="14594" width="13.25" style="1156" customWidth="1"/>
    <col min="14595" max="14595" width="15.625" style="1156" customWidth="1"/>
    <col min="14596" max="14596" width="9.375" style="1156" bestFit="1" customWidth="1"/>
    <col min="14597" max="14597" width="13.5" style="1156" customWidth="1"/>
    <col min="14598" max="14598" width="9" style="1156"/>
    <col min="14599" max="14599" width="9.375" style="1156" bestFit="1" customWidth="1"/>
    <col min="14600" max="14601" width="9" style="1156"/>
    <col min="14602" max="14602" width="9.375" style="1156" bestFit="1" customWidth="1"/>
    <col min="14603" max="14603" width="4" style="1156" customWidth="1"/>
    <col min="14604" max="14604" width="5.125" style="1156" customWidth="1"/>
    <col min="14605" max="14605" width="13.75" style="1156" customWidth="1"/>
    <col min="14606" max="14848" width="9" style="1156"/>
    <col min="14849" max="14849" width="4.875" style="1156" customWidth="1"/>
    <col min="14850" max="14850" width="13.25" style="1156" customWidth="1"/>
    <col min="14851" max="14851" width="15.625" style="1156" customWidth="1"/>
    <col min="14852" max="14852" width="9.375" style="1156" bestFit="1" customWidth="1"/>
    <col min="14853" max="14853" width="13.5" style="1156" customWidth="1"/>
    <col min="14854" max="14854" width="9" style="1156"/>
    <col min="14855" max="14855" width="9.375" style="1156" bestFit="1" customWidth="1"/>
    <col min="14856" max="14857" width="9" style="1156"/>
    <col min="14858" max="14858" width="9.375" style="1156" bestFit="1" customWidth="1"/>
    <col min="14859" max="14859" width="4" style="1156" customWidth="1"/>
    <col min="14860" max="14860" width="5.125" style="1156" customWidth="1"/>
    <col min="14861" max="14861" width="13.75" style="1156" customWidth="1"/>
    <col min="14862" max="15104" width="9" style="1156"/>
    <col min="15105" max="15105" width="4.875" style="1156" customWidth="1"/>
    <col min="15106" max="15106" width="13.25" style="1156" customWidth="1"/>
    <col min="15107" max="15107" width="15.625" style="1156" customWidth="1"/>
    <col min="15108" max="15108" width="9.375" style="1156" bestFit="1" customWidth="1"/>
    <col min="15109" max="15109" width="13.5" style="1156" customWidth="1"/>
    <col min="15110" max="15110" width="9" style="1156"/>
    <col min="15111" max="15111" width="9.375" style="1156" bestFit="1" customWidth="1"/>
    <col min="15112" max="15113" width="9" style="1156"/>
    <col min="15114" max="15114" width="9.375" style="1156" bestFit="1" customWidth="1"/>
    <col min="15115" max="15115" width="4" style="1156" customWidth="1"/>
    <col min="15116" max="15116" width="5.125" style="1156" customWidth="1"/>
    <col min="15117" max="15117" width="13.75" style="1156" customWidth="1"/>
    <col min="15118" max="15360" width="9" style="1156"/>
    <col min="15361" max="15361" width="4.875" style="1156" customWidth="1"/>
    <col min="15362" max="15362" width="13.25" style="1156" customWidth="1"/>
    <col min="15363" max="15363" width="15.625" style="1156" customWidth="1"/>
    <col min="15364" max="15364" width="9.375" style="1156" bestFit="1" customWidth="1"/>
    <col min="15365" max="15365" width="13.5" style="1156" customWidth="1"/>
    <col min="15366" max="15366" width="9" style="1156"/>
    <col min="15367" max="15367" width="9.375" style="1156" bestFit="1" customWidth="1"/>
    <col min="15368" max="15369" width="9" style="1156"/>
    <col min="15370" max="15370" width="9.375" style="1156" bestFit="1" customWidth="1"/>
    <col min="15371" max="15371" width="4" style="1156" customWidth="1"/>
    <col min="15372" max="15372" width="5.125" style="1156" customWidth="1"/>
    <col min="15373" max="15373" width="13.75" style="1156" customWidth="1"/>
    <col min="15374" max="15616" width="9" style="1156"/>
    <col min="15617" max="15617" width="4.875" style="1156" customWidth="1"/>
    <col min="15618" max="15618" width="13.25" style="1156" customWidth="1"/>
    <col min="15619" max="15619" width="15.625" style="1156" customWidth="1"/>
    <col min="15620" max="15620" width="9.375" style="1156" bestFit="1" customWidth="1"/>
    <col min="15621" max="15621" width="13.5" style="1156" customWidth="1"/>
    <col min="15622" max="15622" width="9" style="1156"/>
    <col min="15623" max="15623" width="9.375" style="1156" bestFit="1" customWidth="1"/>
    <col min="15624" max="15625" width="9" style="1156"/>
    <col min="15626" max="15626" width="9.375" style="1156" bestFit="1" customWidth="1"/>
    <col min="15627" max="15627" width="4" style="1156" customWidth="1"/>
    <col min="15628" max="15628" width="5.125" style="1156" customWidth="1"/>
    <col min="15629" max="15629" width="13.75" style="1156" customWidth="1"/>
    <col min="15630" max="15872" width="9" style="1156"/>
    <col min="15873" max="15873" width="4.875" style="1156" customWidth="1"/>
    <col min="15874" max="15874" width="13.25" style="1156" customWidth="1"/>
    <col min="15875" max="15875" width="15.625" style="1156" customWidth="1"/>
    <col min="15876" max="15876" width="9.375" style="1156" bestFit="1" customWidth="1"/>
    <col min="15877" max="15877" width="13.5" style="1156" customWidth="1"/>
    <col min="15878" max="15878" width="9" style="1156"/>
    <col min="15879" max="15879" width="9.375" style="1156" bestFit="1" customWidth="1"/>
    <col min="15880" max="15881" width="9" style="1156"/>
    <col min="15882" max="15882" width="9.375" style="1156" bestFit="1" customWidth="1"/>
    <col min="15883" max="15883" width="4" style="1156" customWidth="1"/>
    <col min="15884" max="15884" width="5.125" style="1156" customWidth="1"/>
    <col min="15885" max="15885" width="13.75" style="1156" customWidth="1"/>
    <col min="15886" max="16128" width="9" style="1156"/>
    <col min="16129" max="16129" width="4.875" style="1156" customWidth="1"/>
    <col min="16130" max="16130" width="13.25" style="1156" customWidth="1"/>
    <col min="16131" max="16131" width="15.625" style="1156" customWidth="1"/>
    <col min="16132" max="16132" width="9.375" style="1156" bestFit="1" customWidth="1"/>
    <col min="16133" max="16133" width="13.5" style="1156" customWidth="1"/>
    <col min="16134" max="16134" width="9" style="1156"/>
    <col min="16135" max="16135" width="9.375" style="1156" bestFit="1" customWidth="1"/>
    <col min="16136" max="16137" width="9" style="1156"/>
    <col min="16138" max="16138" width="9.375" style="1156" bestFit="1" customWidth="1"/>
    <col min="16139" max="16139" width="4" style="1156" customWidth="1"/>
    <col min="16140" max="16140" width="5.125" style="1156" customWidth="1"/>
    <col min="16141" max="16141" width="13.75" style="1156" customWidth="1"/>
    <col min="16142" max="16384" width="9" style="1156"/>
  </cols>
  <sheetData>
    <row r="1" spans="1:257" s="1216" customFormat="1" ht="14.25" thickBot="1">
      <c r="A1" s="1210"/>
      <c r="B1" s="1217" t="s">
        <v>602</v>
      </c>
      <c r="C1" s="1211">
        <f>项目基本情况!D3</f>
        <v>46015</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2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25">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5">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14.25">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4.2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4.2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4.2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4.2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4.2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4.2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4.2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4.2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4.2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4.2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4.2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2" customWidth="1"/>
    <col min="2" max="9" width="12.125" style="642" customWidth="1"/>
    <col min="10" max="16384" width="9" style="642"/>
  </cols>
  <sheetData>
    <row r="1" spans="1:9" ht="18.75" thickBot="1">
      <c r="A1" s="3193" t="str">
        <f>IF(项目基本情况!B9="房地产市场价值","估价结果一览表","结果表-2")</f>
        <v>估价结果一览表</v>
      </c>
      <c r="B1" s="3193"/>
      <c r="C1" s="3193"/>
      <c r="D1" s="3193"/>
      <c r="E1" s="3193"/>
      <c r="F1" s="3193"/>
      <c r="G1" s="3193"/>
      <c r="H1" s="3193"/>
      <c r="I1" s="3193"/>
    </row>
    <row r="2" spans="1:9" ht="30" customHeight="1" thickTop="1">
      <c r="A2" s="3194" t="s">
        <v>928</v>
      </c>
      <c r="B2" s="3194" t="s">
        <v>929</v>
      </c>
      <c r="C2" s="3194" t="s">
        <v>930</v>
      </c>
      <c r="D2" s="3194" t="str">
        <f>结果表!D116</f>
        <v>出让国有建设用地使用权价值</v>
      </c>
      <c r="E2" s="3194"/>
      <c r="F2" s="3194" t="str">
        <f>结果表!F116</f>
        <v>在建建筑物价值</v>
      </c>
      <c r="G2" s="3194"/>
      <c r="H2" s="3194" t="str">
        <f>IF(项目基本情况!B9="房地产市场价值","房地产市场价值","房地产价值")</f>
        <v>房地产市场价值</v>
      </c>
      <c r="I2" s="3194"/>
    </row>
    <row r="3" spans="1:9" ht="15">
      <c r="A3" s="3195"/>
      <c r="B3" s="3195"/>
      <c r="C3" s="3195"/>
      <c r="D3" s="801" t="s">
        <v>925</v>
      </c>
      <c r="E3" s="801" t="s">
        <v>931</v>
      </c>
      <c r="F3" s="801" t="s">
        <v>925</v>
      </c>
      <c r="G3" s="801" t="s">
        <v>926</v>
      </c>
      <c r="H3" s="801" t="s">
        <v>925</v>
      </c>
      <c r="I3" s="801" t="s">
        <v>926</v>
      </c>
    </row>
    <row r="4" spans="1:9" ht="15">
      <c r="A4" s="1403" t="str">
        <f>项目基本情况!S2</f>
        <v>北京市房地产</v>
      </c>
      <c r="B4" s="801">
        <f>项目基本情况!C17</f>
        <v>32.74</v>
      </c>
      <c r="C4" s="801">
        <f>项目基本情况!C18</f>
        <v>0</v>
      </c>
      <c r="D4" s="801" t="e">
        <f ca="1">结果表!D118</f>
        <v>#REF!</v>
      </c>
      <c r="E4" s="801" t="e">
        <f ca="1">结果表!E118</f>
        <v>#REF!</v>
      </c>
      <c r="F4" s="801" t="e">
        <f ca="1">结果表!F118</f>
        <v>#REF!</v>
      </c>
      <c r="G4" s="801" t="e">
        <f ca="1">结果表!G118</f>
        <v>#REF!</v>
      </c>
      <c r="H4" s="801" t="e">
        <f ca="1">结果表!H118</f>
        <v>#REF!</v>
      </c>
      <c r="I4" s="801" t="e">
        <f ca="1">结果表!I118</f>
        <v>#REF!</v>
      </c>
    </row>
    <row r="5" spans="1:9" ht="30" customHeight="1">
      <c r="A5" s="3195" t="s">
        <v>927</v>
      </c>
      <c r="B5" s="3195"/>
      <c r="C5" s="3195"/>
      <c r="D5" s="3195" t="e">
        <f ca="1">结果表!D119</f>
        <v>#REF!</v>
      </c>
      <c r="E5" s="3195"/>
      <c r="F5" s="3195" t="e">
        <f ca="1">结果表!F119</f>
        <v>#REF!</v>
      </c>
      <c r="G5" s="3195"/>
      <c r="H5" s="3195" t="e">
        <f ca="1">结果表!H119</f>
        <v>#REF!</v>
      </c>
      <c r="I5" s="3195"/>
    </row>
    <row r="6" spans="1:9" ht="15.75">
      <c r="A6" s="3196" t="str">
        <f>结果表!A120</f>
        <v/>
      </c>
      <c r="B6" s="3196"/>
      <c r="C6" s="3196"/>
      <c r="D6" s="3196">
        <f>结果表!D120</f>
        <v>0</v>
      </c>
      <c r="E6" s="3196"/>
      <c r="F6" s="3196"/>
      <c r="G6" s="3196"/>
      <c r="H6" s="3196"/>
      <c r="I6" s="3196"/>
    </row>
    <row r="7" spans="1:9" ht="15">
      <c r="A7" s="3195" t="s">
        <v>927</v>
      </c>
      <c r="B7" s="3195"/>
      <c r="C7" s="3195"/>
      <c r="D7" s="3197" t="str">
        <f>结果表!D121</f>
        <v>零元整</v>
      </c>
      <c r="E7" s="3198"/>
      <c r="F7" s="3198"/>
      <c r="G7" s="3198"/>
      <c r="H7" s="3198"/>
      <c r="I7" s="3199"/>
    </row>
    <row r="8" spans="1:9" ht="15.75">
      <c r="A8" s="3196" t="str">
        <f>结果表!A122</f>
        <v/>
      </c>
      <c r="B8" s="3196"/>
      <c r="C8" s="3196"/>
      <c r="D8" s="3196" t="e">
        <f ca="1">结果表!D122</f>
        <v>#REF!</v>
      </c>
      <c r="E8" s="3196"/>
      <c r="F8" s="3196"/>
      <c r="G8" s="3196"/>
      <c r="H8" s="3196"/>
      <c r="I8" s="3196"/>
    </row>
    <row r="9" spans="1:9" ht="15">
      <c r="A9" s="3195" t="s">
        <v>927</v>
      </c>
      <c r="B9" s="3195"/>
      <c r="C9" s="3195"/>
      <c r="D9" s="3195" t="e">
        <f ca="1">结果表!D123</f>
        <v>#REF!</v>
      </c>
      <c r="E9" s="3195"/>
      <c r="F9" s="3195"/>
      <c r="G9" s="3195"/>
      <c r="H9" s="3195"/>
      <c r="I9" s="3195"/>
    </row>
    <row r="10" spans="1:9" ht="15.75">
      <c r="A10" s="3196" t="str">
        <f>结果表!A124</f>
        <v/>
      </c>
      <c r="B10" s="3196"/>
      <c r="C10" s="3196"/>
      <c r="D10" s="3196" t="str">
        <f>结果表!D124</f>
        <v>——</v>
      </c>
      <c r="E10" s="3196"/>
      <c r="F10" s="3196"/>
      <c r="G10" s="3196"/>
      <c r="H10" s="3196"/>
      <c r="I10" s="3196"/>
    </row>
    <row r="11" spans="1:9" ht="15">
      <c r="A11" s="3195" t="s">
        <v>927</v>
      </c>
      <c r="B11" s="3195"/>
      <c r="C11" s="3195"/>
      <c r="D11" s="3195" t="e">
        <f>结果表!D125</f>
        <v>#VALUE!</v>
      </c>
      <c r="E11" s="3195"/>
      <c r="F11" s="3195"/>
      <c r="G11" s="3195"/>
      <c r="H11" s="3195"/>
      <c r="I11" s="3195"/>
    </row>
    <row r="12" spans="1:9" ht="15.75">
      <c r="A12" s="3196" t="str">
        <f>结果表!A126</f>
        <v/>
      </c>
      <c r="B12" s="3196"/>
      <c r="C12" s="3196"/>
      <c r="D12" s="3196" t="str">
        <f>结果表!D126</f>
        <v>——</v>
      </c>
      <c r="E12" s="3196"/>
      <c r="F12" s="3196"/>
      <c r="G12" s="3196"/>
      <c r="H12" s="3196"/>
      <c r="I12" s="3196"/>
    </row>
    <row r="13" spans="1:9" ht="15.75" thickBot="1">
      <c r="A13" s="3200" t="s">
        <v>927</v>
      </c>
      <c r="B13" s="3200"/>
      <c r="C13" s="3200"/>
      <c r="D13" s="3200" t="e">
        <f>结果表!D127</f>
        <v>#VALUE!</v>
      </c>
      <c r="E13" s="3200"/>
      <c r="F13" s="3200"/>
      <c r="G13" s="3200"/>
      <c r="H13" s="3200"/>
      <c r="I13" s="3200"/>
    </row>
    <row r="14" spans="1:9" ht="15" thickTop="1">
      <c r="A14" s="3201" t="s">
        <v>932</v>
      </c>
      <c r="B14" s="3201"/>
      <c r="C14" s="3201"/>
      <c r="D14" s="3201"/>
      <c r="E14" s="3201"/>
      <c r="F14" s="3201"/>
      <c r="G14" s="3201"/>
      <c r="H14" s="3201"/>
      <c r="I14" s="3201"/>
    </row>
    <row r="16" spans="1:9" ht="18.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2" customWidth="1"/>
    <col min="2" max="3" width="22.375" style="642" customWidth="1"/>
    <col min="4" max="4" width="23" style="642" customWidth="1"/>
    <col min="5" max="16384" width="9" style="642"/>
  </cols>
  <sheetData>
    <row r="1" spans="1:4" ht="18.75">
      <c r="A1" s="3202" t="s">
        <v>949</v>
      </c>
      <c r="B1" s="3202"/>
      <c r="C1" s="3202"/>
      <c r="D1" s="3202"/>
    </row>
    <row r="2" spans="1:4" ht="18">
      <c r="A2" s="3203" t="s">
        <v>933</v>
      </c>
      <c r="B2" s="3203"/>
      <c r="C2" s="3203"/>
      <c r="D2" s="3203"/>
    </row>
    <row r="3" spans="1:4" ht="18.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3" t="s">
        <v>939</v>
      </c>
      <c r="B6" s="3203"/>
      <c r="C6" s="3203"/>
      <c r="D6" s="3203"/>
    </row>
    <row r="7" spans="1:4" ht="18.75">
      <c r="A7" s="1407" t="s">
        <v>934</v>
      </c>
      <c r="B7" s="1409" t="s">
        <v>940</v>
      </c>
      <c r="C7" s="1407" t="s">
        <v>936</v>
      </c>
      <c r="D7" s="1407" t="s">
        <v>937</v>
      </c>
    </row>
    <row r="8" spans="1:4" ht="56.25" customHeight="1">
      <c r="A8" s="1413" t="s">
        <v>390</v>
      </c>
      <c r="B8" s="1413" t="s">
        <v>0</v>
      </c>
      <c r="C8" s="1410"/>
      <c r="D8" s="1411" t="s">
        <v>938</v>
      </c>
    </row>
    <row r="10" spans="1:4" ht="18.75">
      <c r="A10" s="1414" t="s">
        <v>941</v>
      </c>
    </row>
    <row r="11" spans="1:4" ht="30" customHeight="1">
      <c r="A11" s="3204" t="s">
        <v>942</v>
      </c>
      <c r="B11" s="3205"/>
      <c r="C11" s="3205"/>
      <c r="D11" s="3205"/>
    </row>
    <row r="12" spans="1:4" ht="15.75">
      <c r="A12" s="320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06"/>
      <c r="C12" s="3206"/>
      <c r="D12" s="3206"/>
    </row>
    <row r="13" spans="1:4" ht="30" customHeight="1">
      <c r="A13" s="3205" t="str">
        <f>IF(项目基本情况!B8="抵押","3.抵押双方在办理抵押登记手续时，应使用本公司出具的正式《房地产评估报告》，特提醒报告使用者注意。","——")</f>
        <v>——</v>
      </c>
      <c r="B13" s="3206"/>
      <c r="C13" s="3206"/>
      <c r="D13" s="3206"/>
    </row>
    <row r="14" spans="1:4" ht="15.75" customHeight="1">
      <c r="A14" s="3205" t="str">
        <f>IF(项目基本情况!B8="抵押","4.本次评估估价师所知悉的法定优先受偿款情况说明如下：","——")</f>
        <v>——</v>
      </c>
      <c r="B14" s="3206"/>
      <c r="C14" s="3206"/>
      <c r="D14" s="3206"/>
    </row>
    <row r="15" spans="1:4" ht="42" customHeight="1">
      <c r="A15" s="3205" t="str">
        <f>IF(项目基本情况!B8="抵押","（1）"&amp;CONCATENATE(项目基本情况!L20,项目基本情况!L21,项目基本情况!L22),"——")</f>
        <v>——</v>
      </c>
      <c r="B15" s="3205"/>
      <c r="C15" s="3205"/>
      <c r="D15" s="3205"/>
    </row>
    <row r="16" spans="1:4" ht="30" customHeight="1">
      <c r="A16" s="3208" t="s">
        <v>943</v>
      </c>
      <c r="B16" s="3208"/>
      <c r="C16" s="3208"/>
      <c r="D16" s="3208"/>
    </row>
    <row r="17" spans="1:4" ht="144" customHeight="1">
      <c r="A17" s="3208" t="s">
        <v>944</v>
      </c>
      <c r="B17" s="3208"/>
      <c r="C17" s="3208"/>
      <c r="D17" s="3208"/>
    </row>
    <row r="18" spans="1:4" ht="15.75" customHeight="1">
      <c r="A18" s="3205" t="str">
        <f>IF(项目基本情况!B8="抵押",结果表!K120,"——")</f>
        <v>——</v>
      </c>
      <c r="B18" s="3205"/>
      <c r="C18" s="3205"/>
      <c r="D18" s="3205"/>
    </row>
    <row r="19" spans="1:4" ht="46.5" customHeight="1">
      <c r="A19" s="320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05"/>
      <c r="C19" s="3205"/>
      <c r="D19" s="3205"/>
    </row>
    <row r="20" spans="1:4" ht="57.75" customHeight="1">
      <c r="A20" s="320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05"/>
      <c r="C20" s="3205"/>
      <c r="D20" s="3205"/>
    </row>
    <row r="21" spans="1:4" ht="57.75" customHeight="1">
      <c r="A21" s="320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09"/>
      <c r="C21" s="3209"/>
      <c r="D21" s="3209"/>
    </row>
    <row r="22" spans="1:4" ht="18.75" customHeight="1">
      <c r="A22" s="3210" t="s">
        <v>945</v>
      </c>
      <c r="B22" s="3210"/>
      <c r="C22" s="3210"/>
      <c r="D22" s="3210"/>
    </row>
    <row r="23" spans="1:4">
      <c r="A23" s="1415"/>
      <c r="B23" s="459"/>
      <c r="C23" s="459"/>
      <c r="D23" s="459"/>
    </row>
    <row r="24" spans="1:4">
      <c r="A24" s="1415"/>
      <c r="B24" s="459"/>
      <c r="C24" s="459"/>
      <c r="D24" s="459"/>
    </row>
    <row r="25" spans="1:4" ht="18.75">
      <c r="A25" s="1416" t="s">
        <v>946</v>
      </c>
    </row>
    <row r="26" spans="1:4" ht="18">
      <c r="A26" s="1387"/>
    </row>
    <row r="27" spans="1:4" ht="18.75">
      <c r="A27" s="1387" t="s">
        <v>947</v>
      </c>
    </row>
    <row r="30" spans="1:4" ht="18.75">
      <c r="D30" s="1416" t="s">
        <v>948</v>
      </c>
    </row>
    <row r="31" spans="1:4" ht="13.5" customHeight="1">
      <c r="C31" s="3207">
        <v>42551</v>
      </c>
      <c r="D31" s="320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9" customWidth="1"/>
    <col min="3" max="10" width="12.5" style="1379" customWidth="1"/>
    <col min="11" max="16384" width="9" style="1379"/>
  </cols>
  <sheetData>
    <row r="1" spans="1:1" ht="18.75">
      <c r="A1" s="1406" t="s">
        <v>391</v>
      </c>
    </row>
    <row r="2" spans="1:1" ht="18.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22" customWidth="1"/>
    <col min="2" max="16384" width="14.5" style="1405"/>
  </cols>
  <sheetData>
    <row r="1" spans="1:7" s="1419" customFormat="1" ht="18.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3.5">
      <c r="A15" s="3216" t="s">
        <v>956</v>
      </c>
      <c r="B15" s="3211" t="s">
        <v>109</v>
      </c>
      <c r="C15" s="3212"/>
    </row>
    <row r="16" spans="1:7" ht="13.5">
      <c r="A16" s="3217"/>
      <c r="B16" s="3211" t="s">
        <v>42</v>
      </c>
      <c r="C16" s="3212"/>
    </row>
    <row r="17" spans="1:3" ht="13.5">
      <c r="A17" s="3217"/>
      <c r="B17" s="3214" t="s">
        <v>957</v>
      </c>
      <c r="C17" s="1429" t="s">
        <v>956</v>
      </c>
    </row>
    <row r="18" spans="1:3" ht="13.5">
      <c r="A18" s="3217"/>
      <c r="B18" s="3214"/>
      <c r="C18" s="1429" t="s">
        <v>958</v>
      </c>
    </row>
    <row r="19" spans="1:3" ht="13.5">
      <c r="A19" s="3217"/>
      <c r="B19" s="3214"/>
      <c r="C19" s="1429" t="s">
        <v>959</v>
      </c>
    </row>
    <row r="20" spans="1:3" ht="13.5">
      <c r="A20" s="3218"/>
      <c r="B20" s="3213" t="s">
        <v>960</v>
      </c>
      <c r="C20" s="3212"/>
    </row>
    <row r="21" spans="1:3" ht="13.5">
      <c r="A21" s="1430" t="s">
        <v>961</v>
      </c>
      <c r="B21" s="1431"/>
      <c r="C21" s="1432"/>
    </row>
    <row r="22" spans="1:3" ht="13.5">
      <c r="A22" s="3215" t="s">
        <v>962</v>
      </c>
      <c r="B22" s="3213" t="s">
        <v>963</v>
      </c>
      <c r="C22" s="3212"/>
    </row>
    <row r="23" spans="1:3" ht="13.5">
      <c r="A23" s="3215"/>
      <c r="B23" s="3213" t="s">
        <v>964</v>
      </c>
      <c r="C23" s="3212"/>
    </row>
    <row r="24" spans="1:3" ht="13.5">
      <c r="A24" s="3215"/>
      <c r="B24" s="3213" t="s">
        <v>965</v>
      </c>
      <c r="C24" s="3212"/>
    </row>
    <row r="25" spans="1:3" ht="13.5">
      <c r="A25" s="3215"/>
      <c r="B25" s="3214" t="s">
        <v>966</v>
      </c>
      <c r="C25" s="1429" t="s">
        <v>967</v>
      </c>
    </row>
    <row r="26" spans="1:3" ht="13.5">
      <c r="A26" s="3215"/>
      <c r="B26" s="3214"/>
      <c r="C26" s="1429" t="s">
        <v>968</v>
      </c>
    </row>
    <row r="27" spans="1:3" ht="13.5">
      <c r="A27" s="3215"/>
      <c r="B27" s="3214"/>
      <c r="C27" s="1429" t="s">
        <v>969</v>
      </c>
    </row>
    <row r="28" spans="1:3" ht="13.5">
      <c r="A28" s="3215"/>
      <c r="B28" s="3214"/>
      <c r="C28" s="1429" t="s">
        <v>970</v>
      </c>
    </row>
    <row r="29" spans="1:3" ht="13.5">
      <c r="A29" s="3215"/>
      <c r="B29" s="3214"/>
      <c r="C29" s="1429" t="s">
        <v>971</v>
      </c>
    </row>
    <row r="30" spans="1:3" ht="13.5">
      <c r="A30" s="3215"/>
      <c r="B30" s="3214"/>
      <c r="C30" s="1429" t="s">
        <v>972</v>
      </c>
    </row>
    <row r="31" spans="1:3" ht="13.5">
      <c r="A31" s="3215"/>
      <c r="B31" s="3214"/>
      <c r="C31" s="1429" t="s">
        <v>973</v>
      </c>
    </row>
    <row r="32" spans="1:3" ht="13.5">
      <c r="A32" s="3215"/>
      <c r="B32" s="3214"/>
      <c r="C32" s="1429" t="s">
        <v>974</v>
      </c>
    </row>
    <row r="33" spans="1:3" ht="13.5">
      <c r="A33" s="3215"/>
      <c r="B33" s="3214"/>
      <c r="C33" s="1429" t="s">
        <v>975</v>
      </c>
    </row>
    <row r="34" spans="1:3">
      <c r="A34" s="1433" t="s">
        <v>49</v>
      </c>
    </row>
    <row r="37" spans="1:3">
      <c r="A37" s="1433" t="s">
        <v>976</v>
      </c>
    </row>
    <row r="38" spans="1:3" ht="13.5">
      <c r="A38" s="1434" t="s">
        <v>50</v>
      </c>
    </row>
    <row r="39" spans="1:3" ht="13.5">
      <c r="A39" s="1434" t="s">
        <v>51</v>
      </c>
    </row>
    <row r="40" spans="1:3" ht="13.5">
      <c r="A40" s="1434" t="s">
        <v>52</v>
      </c>
    </row>
    <row r="41" spans="1:3" ht="13.5">
      <c r="A41" s="1435" t="s">
        <v>53</v>
      </c>
    </row>
    <row r="42" spans="1:3" ht="13.5">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53" customWidth="1"/>
    <col min="2" max="2" width="38.625" style="2153" customWidth="1"/>
    <col min="3" max="3" width="26" style="2153" customWidth="1"/>
    <col min="4" max="4" width="35" style="2153" hidden="1" customWidth="1"/>
    <col min="5" max="5" width="30.125" style="2153" customWidth="1"/>
    <col min="6" max="6" width="35.5" style="2153" customWidth="1"/>
    <col min="7" max="7" width="31" style="2153" customWidth="1"/>
    <col min="8" max="8" width="37.5" style="2153" hidden="1" customWidth="1"/>
    <col min="9" max="16384" width="22.625" style="2153"/>
  </cols>
  <sheetData>
    <row r="1" spans="1:8" ht="24" customHeight="1">
      <c r="A1" s="2152"/>
      <c r="B1" s="2152"/>
      <c r="C1" s="2152"/>
      <c r="D1" s="2152"/>
      <c r="E1" s="2152"/>
      <c r="F1" s="2152"/>
      <c r="G1" s="2152"/>
      <c r="H1" s="2152"/>
    </row>
    <row r="2" spans="1:8" ht="24" customHeight="1">
      <c r="A2" s="2154" t="s">
        <v>2139</v>
      </c>
      <c r="B2" s="2155">
        <f ca="1">TODAY()</f>
        <v>46021</v>
      </c>
      <c r="C2" s="2156" t="s">
        <v>2140</v>
      </c>
      <c r="D2" s="2156"/>
      <c r="E2" s="2156"/>
      <c r="F2" s="2152"/>
      <c r="G2" s="2152"/>
      <c r="H2" s="2152"/>
    </row>
    <row r="3" spans="1:8" ht="24" customHeight="1">
      <c r="A3" s="2157" t="s">
        <v>2141</v>
      </c>
      <c r="B3" s="1219" t="s">
        <v>2142</v>
      </c>
      <c r="C3" s="1219" t="s">
        <v>2143</v>
      </c>
      <c r="D3" s="2158" t="s">
        <v>2144</v>
      </c>
      <c r="E3" s="2159" t="s">
        <v>2145</v>
      </c>
      <c r="F3" s="1219" t="s">
        <v>2146</v>
      </c>
      <c r="G3" s="1219" t="s">
        <v>2143</v>
      </c>
      <c r="H3" s="2158" t="s">
        <v>2147</v>
      </c>
    </row>
    <row r="4" spans="1:8" ht="24" customHeight="1">
      <c r="A4" s="1219" t="s">
        <v>2148</v>
      </c>
      <c r="B4" s="1219" t="str">
        <f ca="1">IF(C4&lt;B2,"已过期",1119970066)</f>
        <v>已过期</v>
      </c>
      <c r="C4" s="2160">
        <v>45937</v>
      </c>
      <c r="D4" s="2161" t="str">
        <f ca="1">A4&amp;"（注册号："&amp;B4&amp;"）"</f>
        <v>梁津（注册号：已过期）</v>
      </c>
      <c r="E4" s="2162" t="s">
        <v>2148</v>
      </c>
      <c r="F4" s="1219">
        <f ca="1">IF(G4&lt;B2,"已过期",96010014)</f>
        <v>96010014</v>
      </c>
      <c r="G4" s="2163">
        <v>47118</v>
      </c>
      <c r="H4" s="2164" t="str">
        <f ca="1">E4&amp;"（注册号："&amp;F4&amp;"）"</f>
        <v>梁津（注册号：96010014）</v>
      </c>
    </row>
    <row r="5" spans="1:8" ht="24" customHeight="1">
      <c r="A5" s="1219" t="s">
        <v>2149</v>
      </c>
      <c r="B5" s="1219" t="str">
        <f ca="1">IF(C5&lt;B2,"已过期",1119970111)</f>
        <v>已过期</v>
      </c>
      <c r="C5" s="2160">
        <v>45937</v>
      </c>
      <c r="D5" s="2161" t="str">
        <f t="shared" ref="D5:D15" ca="1" si="0">A5&amp;"（注册号："&amp;B5&amp;"）"</f>
        <v>叶凌（注册号：已过期）</v>
      </c>
      <c r="E5" s="2162" t="s">
        <v>2149</v>
      </c>
      <c r="F5" s="1219">
        <f ca="1">IF(G5&lt;B2,"已过期",94010078)</f>
        <v>94010078</v>
      </c>
      <c r="G5" s="2163">
        <v>46387</v>
      </c>
      <c r="H5" s="2164" t="str">
        <f t="shared" ref="H5:H16" ca="1" si="1">E5&amp;"（注册号："&amp;F5&amp;"）"</f>
        <v>叶凌（注册号：94010078）</v>
      </c>
    </row>
    <row r="6" spans="1:8" ht="24" customHeight="1">
      <c r="A6" s="1219" t="s">
        <v>2150</v>
      </c>
      <c r="B6" s="1219" t="str">
        <f ca="1">IF(C6&lt;B2,"已过期",1120050019)</f>
        <v>已过期</v>
      </c>
      <c r="C6" s="2160">
        <v>45410</v>
      </c>
      <c r="D6" s="2161" t="str">
        <f t="shared" ca="1" si="0"/>
        <v>王鹏（注册号：已过期）</v>
      </c>
      <c r="E6" s="2162" t="s">
        <v>2150</v>
      </c>
      <c r="F6" s="1219">
        <f ca="1">IF(G6&lt;B2,"已过期",2002110030)</f>
        <v>2002110030</v>
      </c>
      <c r="G6" s="2163">
        <v>46387</v>
      </c>
      <c r="H6" s="2164" t="str">
        <f t="shared" ca="1" si="1"/>
        <v>王鹏（注册号：2002110030）</v>
      </c>
    </row>
    <row r="7" spans="1:8" ht="24" customHeight="1">
      <c r="A7" s="1219" t="s">
        <v>2151</v>
      </c>
      <c r="B7" s="1219" t="str">
        <f ca="1">IF(C7&lt;B2,"已过期",1120000080)</f>
        <v>已过期</v>
      </c>
      <c r="C7" s="2160">
        <v>45937</v>
      </c>
      <c r="D7" s="2161" t="str">
        <f t="shared" ca="1" si="0"/>
        <v>欧红伟（注册号：已过期）</v>
      </c>
      <c r="E7" s="2162" t="s">
        <v>2151</v>
      </c>
      <c r="F7" s="1219">
        <f ca="1">IF(G7&lt;B2,"已过期",2000110082)</f>
        <v>2000110082</v>
      </c>
      <c r="G7" s="2163">
        <v>46387</v>
      </c>
      <c r="H7" s="2164" t="str">
        <f t="shared" ca="1" si="1"/>
        <v>欧红伟（注册号：2000110082）</v>
      </c>
    </row>
    <row r="8" spans="1:8" ht="24" customHeight="1">
      <c r="A8" s="1219" t="s">
        <v>2152</v>
      </c>
      <c r="B8" s="1219" t="str">
        <f ca="1">IF(C8&lt;B2,"已过期",1419970001)</f>
        <v>已过期</v>
      </c>
      <c r="C8" s="2160">
        <v>45937</v>
      </c>
      <c r="D8" s="2161" t="str">
        <f t="shared" ca="1" si="0"/>
        <v>吴薇（注册号：已过期）</v>
      </c>
      <c r="E8" s="2162" t="s">
        <v>2152</v>
      </c>
      <c r="F8" s="1219">
        <f ca="1">IF(G8&lt;B2,"已过期",2002110125)</f>
        <v>2002110125</v>
      </c>
      <c r="G8" s="2163">
        <v>47118</v>
      </c>
      <c r="H8" s="2164" t="str">
        <f t="shared" ca="1" si="1"/>
        <v>吴薇（注册号：2002110125）</v>
      </c>
    </row>
    <row r="9" spans="1:8" ht="24" customHeight="1">
      <c r="A9" s="1219" t="s">
        <v>2153</v>
      </c>
      <c r="B9" s="1219" t="str">
        <f ca="1">IF(C9&lt;B2,"已过期",1120060040)</f>
        <v>已过期</v>
      </c>
      <c r="C9" s="2165">
        <v>45592</v>
      </c>
      <c r="D9" s="2161" t="str">
        <f t="shared" ca="1" si="0"/>
        <v>陈颖（注册号：已过期）</v>
      </c>
      <c r="E9" s="2162" t="s">
        <v>2153</v>
      </c>
      <c r="F9" s="1219">
        <f ca="1">IF(G9&lt;B2,"已过期",2004110096)</f>
        <v>2004110096</v>
      </c>
      <c r="G9" s="2163">
        <v>47118</v>
      </c>
      <c r="H9" s="2164" t="str">
        <f t="shared" ca="1" si="1"/>
        <v>陈颖（注册号：2004110096）</v>
      </c>
    </row>
    <row r="10" spans="1:8" ht="24" customHeight="1">
      <c r="A10" s="1219" t="s">
        <v>2154</v>
      </c>
      <c r="B10" s="1219" t="str">
        <f ca="1">IF(C10&lt;B2,"已过期",1120100036)</f>
        <v>已过期</v>
      </c>
      <c r="C10" s="2165">
        <v>45752</v>
      </c>
      <c r="D10" s="2161" t="str">
        <f t="shared" ca="1" si="0"/>
        <v>崔锴（注册号：已过期）</v>
      </c>
      <c r="E10" s="2162" t="s">
        <v>2154</v>
      </c>
      <c r="F10" s="1219">
        <f ca="1">IF(G10&lt;B2,"已过期",2010110070)</f>
        <v>2010110070</v>
      </c>
      <c r="G10" s="2163">
        <v>47907</v>
      </c>
      <c r="H10" s="2164" t="str">
        <f t="shared" ca="1" si="1"/>
        <v>崔锴（注册号：2010110070）</v>
      </c>
    </row>
    <row r="11" spans="1:8" ht="24" customHeight="1">
      <c r="A11" s="1219" t="s">
        <v>2155</v>
      </c>
      <c r="B11" s="1219" t="str">
        <f ca="1">IF(C11&lt;B2,"已过期",1120070131)</f>
        <v>已过期</v>
      </c>
      <c r="C11" s="2160">
        <v>45937</v>
      </c>
      <c r="D11" s="2161" t="str">
        <f t="shared" ca="1" si="0"/>
        <v>郑燚（注册号：已过期）</v>
      </c>
      <c r="E11" s="2162" t="s">
        <v>2155</v>
      </c>
      <c r="F11" s="1219">
        <f ca="1">IF(G11&lt;B2,"已过期",2014110011)</f>
        <v>2014110011</v>
      </c>
      <c r="G11" s="2163">
        <v>49302</v>
      </c>
      <c r="H11" s="2164" t="str">
        <f t="shared" ca="1" si="1"/>
        <v>郑燚（注册号：2014110011）</v>
      </c>
    </row>
    <row r="12" spans="1:8" ht="24" customHeight="1">
      <c r="A12" s="1219" t="s">
        <v>2156</v>
      </c>
      <c r="B12" s="1219" t="str">
        <f ca="1">IF(C12&lt;B2,"已过期",1120040230)</f>
        <v>已过期</v>
      </c>
      <c r="C12" s="2165">
        <v>45937</v>
      </c>
      <c r="D12" s="2161" t="str">
        <f t="shared" ca="1" si="0"/>
        <v>苏海（注册号：已过期）</v>
      </c>
      <c r="E12" s="2162" t="s">
        <v>2156</v>
      </c>
      <c r="F12" s="1219">
        <f ca="1">IF(G12&lt;B2,"已过期",98030020)</f>
        <v>98030020</v>
      </c>
      <c r="G12" s="2163">
        <v>47118</v>
      </c>
      <c r="H12" s="2164" t="str">
        <f t="shared" ca="1" si="1"/>
        <v>苏海（注册号：98030020）</v>
      </c>
    </row>
    <row r="13" spans="1:8" ht="24" customHeight="1">
      <c r="A13" s="1219" t="s">
        <v>2157</v>
      </c>
      <c r="B13" s="1219" t="str">
        <f ca="1">IF(C13&lt;B2,"已过期",1120020033)</f>
        <v>已过期</v>
      </c>
      <c r="C13" s="2160">
        <v>45375</v>
      </c>
      <c r="D13" s="2161" t="str">
        <f t="shared" ca="1" si="0"/>
        <v>刘敬东（注册号：已过期）</v>
      </c>
      <c r="E13" s="2162" t="s">
        <v>2157</v>
      </c>
      <c r="F13" s="1219">
        <f ca="1">IF(G13&lt;B2,"已过期",2000110137)</f>
        <v>2000110137</v>
      </c>
      <c r="G13" s="2163">
        <v>46387</v>
      </c>
      <c r="H13" s="2164" t="str">
        <f t="shared" ca="1" si="1"/>
        <v>刘敬东（注册号：2000110137）</v>
      </c>
    </row>
    <row r="14" spans="1:8" ht="24" customHeight="1">
      <c r="A14" s="1219" t="s">
        <v>2158</v>
      </c>
      <c r="B14" s="1219" t="str">
        <f ca="1">IF(C14&lt;B2,"已过期",1119980106)</f>
        <v>已过期</v>
      </c>
      <c r="C14" s="2165">
        <v>44969</v>
      </c>
      <c r="D14" s="2161" t="str">
        <f t="shared" ca="1" si="0"/>
        <v>刘俊财（注册号：已过期）</v>
      </c>
      <c r="E14" s="2162" t="s">
        <v>2158</v>
      </c>
      <c r="F14" s="1219">
        <f ca="1">IF(G14&lt;B2,"已过期",96010063)</f>
        <v>96010063</v>
      </c>
      <c r="G14" s="2163">
        <v>47483</v>
      </c>
      <c r="H14" s="2164" t="str">
        <f t="shared" ca="1" si="1"/>
        <v>刘俊财（注册号：96010063）</v>
      </c>
    </row>
    <row r="15" spans="1:8" ht="24" customHeight="1">
      <c r="A15" s="1219" t="s">
        <v>2437</v>
      </c>
      <c r="B15" s="1219">
        <v>1120210056</v>
      </c>
      <c r="C15" s="2165">
        <v>45410</v>
      </c>
      <c r="D15" s="2161" t="str">
        <f t="shared" si="0"/>
        <v>宁小鳗（注册号：1120210056）</v>
      </c>
      <c r="E15" s="2162" t="s">
        <v>2159</v>
      </c>
      <c r="F15" s="1219">
        <f ca="1">IF(G15&lt;B2,"已过期",2011110090)</f>
        <v>2011110090</v>
      </c>
      <c r="G15" s="2163">
        <v>48302</v>
      </c>
      <c r="H15" s="2164" t="str">
        <f t="shared" ca="1" si="1"/>
        <v>赵雯（注册号：2011110090）</v>
      </c>
    </row>
    <row r="16" spans="1:8" ht="24" customHeight="1">
      <c r="A16" s="1219"/>
      <c r="B16" s="1219"/>
      <c r="C16" s="1219"/>
      <c r="D16" s="2161" t="str">
        <f>A16&amp;"（注册号："&amp;B16&amp;"）"</f>
        <v>（注册号：）</v>
      </c>
      <c r="E16" s="2162"/>
      <c r="F16" s="1219"/>
      <c r="G16" s="1219"/>
      <c r="H16" s="2166" t="str">
        <f t="shared" si="1"/>
        <v>（注册号：）</v>
      </c>
    </row>
    <row r="17" spans="1:8" ht="24" customHeight="1">
      <c r="A17" s="3219" t="s">
        <v>2160</v>
      </c>
      <c r="B17" s="3219"/>
      <c r="C17" s="3219"/>
      <c r="D17" s="3219"/>
      <c r="E17" s="3219"/>
      <c r="F17" s="3219"/>
      <c r="G17" s="3219"/>
      <c r="H17" s="3219"/>
    </row>
    <row r="18" spans="1:8" ht="24" customHeight="1">
      <c r="A18" s="3220" t="s">
        <v>2161</v>
      </c>
      <c r="B18" s="3220"/>
      <c r="C18" s="3220"/>
      <c r="D18" s="2158"/>
      <c r="E18" s="3221" t="s">
        <v>2162</v>
      </c>
      <c r="F18" s="3220"/>
      <c r="G18" s="3220"/>
    </row>
    <row r="19" spans="1:8" s="2168" customFormat="1" ht="24" customHeight="1">
      <c r="A19" s="2167" t="s">
        <v>2163</v>
      </c>
      <c r="B19" s="1219" t="s">
        <v>2164</v>
      </c>
      <c r="C19" s="1219" t="s">
        <v>2143</v>
      </c>
      <c r="D19" s="2158"/>
      <c r="E19" s="2162" t="s">
        <v>2163</v>
      </c>
      <c r="F19" s="1219" t="s">
        <v>2164</v>
      </c>
      <c r="G19" s="1219" t="s">
        <v>2143</v>
      </c>
    </row>
    <row r="20" spans="1:8" s="2168" customFormat="1" ht="24" customHeight="1">
      <c r="A20" s="2169" t="s">
        <v>2165</v>
      </c>
      <c r="B20" s="2169" t="s">
        <v>2166</v>
      </c>
      <c r="C20" s="2163">
        <v>45898</v>
      </c>
      <c r="D20" s="2170"/>
      <c r="E20" s="2171" t="s">
        <v>2167</v>
      </c>
      <c r="F20" s="2174" t="s">
        <v>2438</v>
      </c>
      <c r="G20" s="2175">
        <v>44926</v>
      </c>
    </row>
    <row r="21" spans="1:8" s="2168" customFormat="1" ht="24" customHeight="1">
      <c r="A21" s="2169"/>
      <c r="B21" s="2169"/>
      <c r="C21" s="2172"/>
      <c r="D21" s="2173"/>
      <c r="E21" s="2171"/>
      <c r="F21" s="2174"/>
      <c r="G21" s="2175"/>
    </row>
    <row r="22" spans="1:8" ht="24" customHeight="1">
      <c r="C22" s="2176"/>
      <c r="D22" s="2176"/>
      <c r="E22" s="2177"/>
      <c r="G22" s="2178"/>
    </row>
  </sheetData>
  <sheetProtection password="CEE9" sheet="1" objects="1" scenarios="1"/>
  <mergeCells count="3">
    <mergeCell ref="A17:H17"/>
    <mergeCell ref="A18:C18"/>
    <mergeCell ref="E18:G18"/>
  </mergeCells>
  <phoneticPr fontId="82" type="noConversion"/>
  <conditionalFormatting sqref="A16:C16">
    <cfRule type="cellIs" dxfId="178" priority="32" stopIfTrue="1" operator="equal">
      <formula>"已过期"</formula>
    </cfRule>
  </conditionalFormatting>
  <conditionalFormatting sqref="B4:B15">
    <cfRule type="cellIs" dxfId="177" priority="4" stopIfTrue="1" operator="equal">
      <formula>"已过期"</formula>
    </cfRule>
  </conditionalFormatting>
  <conditionalFormatting sqref="C7:C12">
    <cfRule type="expression" dxfId="176" priority="22">
      <formula>AND($C7-TODAY()&lt;30,TODAY()&lt;$C7)</formula>
    </cfRule>
    <cfRule type="cellIs" dxfId="175" priority="23" stopIfTrue="1" operator="lessThan">
      <formula>$B$2</formula>
    </cfRule>
  </conditionalFormatting>
  <conditionalFormatting sqref="C14:C15">
    <cfRule type="expression" dxfId="174" priority="7">
      <formula>AND($C14-TODAY()&lt;30,TODAY()&lt;$C14)</formula>
    </cfRule>
    <cfRule type="cellIs" dxfId="173" priority="8" stopIfTrue="1" operator="lessThan">
      <formula>$B$2</formula>
    </cfRule>
  </conditionalFormatting>
  <conditionalFormatting sqref="C4:D6 D14">
    <cfRule type="cellIs" dxfId="172" priority="50" stopIfTrue="1" operator="lessThan">
      <formula>$B$2</formula>
    </cfRule>
  </conditionalFormatting>
  <conditionalFormatting sqref="C12:D13">
    <cfRule type="expression" dxfId="171" priority="47">
      <formula>AND($C12-TODAY()&lt;30,TODAY()&lt;$C12)</formula>
    </cfRule>
  </conditionalFormatting>
  <conditionalFormatting sqref="C13:D14">
    <cfRule type="expression" dxfId="170" priority="18">
      <formula>AND($C13-TODAY()&lt;30,TODAY()&lt;$C13)</formula>
    </cfRule>
    <cfRule type="cellIs" dxfId="169" priority="19" stopIfTrue="1" operator="lessThan">
      <formula>$B$2</formula>
    </cfRule>
  </conditionalFormatting>
  <conditionalFormatting sqref="C15:D15">
    <cfRule type="expression" dxfId="168" priority="5">
      <formula>AND($C15-TODAY()&lt;30,TODAY()&lt;$C15)</formula>
    </cfRule>
    <cfRule type="cellIs" dxfId="167" priority="6" stopIfTrue="1" operator="lessThan">
      <formula>$B$2</formula>
    </cfRule>
  </conditionalFormatting>
  <conditionalFormatting sqref="C20:D20 C13:D13">
    <cfRule type="cellIs" dxfId="166" priority="54" stopIfTrue="1" operator="lessThan">
      <formula>$B$2</formula>
    </cfRule>
  </conditionalFormatting>
  <conditionalFormatting sqref="C20:D20">
    <cfRule type="expression" dxfId="165" priority="52">
      <formula>AND($C20-TODAY()&lt;30,TODAY()&lt;$C20)</formula>
    </cfRule>
  </conditionalFormatting>
  <conditionalFormatting sqref="D7:D12 D16">
    <cfRule type="expression" dxfId="164" priority="53">
      <formula>AND($C7-TODAY()&lt;30,TODAY()&lt;$C7)</formula>
    </cfRule>
  </conditionalFormatting>
  <conditionalFormatting sqref="D7:D12">
    <cfRule type="cellIs" dxfId="163" priority="48" stopIfTrue="1" operator="lessThan">
      <formula>$B$2</formula>
    </cfRule>
  </conditionalFormatting>
  <conditionalFormatting sqref="D14 C4:D6">
    <cfRule type="expression" dxfId="162" priority="49">
      <formula>AND($C4-TODAY()&lt;30,TODAY()&lt;$C4)</formula>
    </cfRule>
  </conditionalFormatting>
  <conditionalFormatting sqref="D15:D16">
    <cfRule type="expression" dxfId="161" priority="12">
      <formula>AND($C15-TODAY()&lt;30,TODAY()&lt;$C15)</formula>
    </cfRule>
    <cfRule type="cellIs" dxfId="160" priority="13" stopIfTrue="1" operator="lessThan">
      <formula>$B$2</formula>
    </cfRule>
  </conditionalFormatting>
  <conditionalFormatting sqref="E16:G16">
    <cfRule type="cellIs" dxfId="159" priority="31" stopIfTrue="1" operator="equal">
      <formula>"已过期"</formula>
    </cfRule>
  </conditionalFormatting>
  <conditionalFormatting sqref="F4:F15">
    <cfRule type="cellIs" dxfId="158" priority="9" stopIfTrue="1" operator="equal">
      <formula>"已过期"</formula>
    </cfRule>
  </conditionalFormatting>
  <conditionalFormatting sqref="G4:G15">
    <cfRule type="cellIs" dxfId="157" priority="3" stopIfTrue="1" operator="lessThan">
      <formula>$B$2</formula>
    </cfRule>
  </conditionalFormatting>
  <conditionalFormatting sqref="G20:G21">
    <cfRule type="expression" dxfId="156" priority="1" stopIfTrue="1">
      <formula>AND(#REF!-TODAY()&lt;30,TODAY()&lt;#REF!)</formula>
    </cfRule>
    <cfRule type="cellIs" dxfId="15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171</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比较法-住宅</vt:lpstr>
      <vt:lpstr>收益法 (元)</vt:lpstr>
      <vt:lpstr>收益法-酒店模型</vt:lpstr>
      <vt:lpstr>收益法（汇总）</vt:lpstr>
      <vt:lpstr>比较法-商业</vt:lpstr>
      <vt:lpstr>比较法-办公</vt:lpstr>
      <vt:lpstr>比较法-工业</vt:lpstr>
      <vt:lpstr>比较法-车位</vt:lpstr>
      <vt:lpstr>比较法-仓储</vt:lpstr>
      <vt:lpstr>土地比较法-住宅、综合</vt:lpstr>
      <vt:lpstr>土地比较法-工业</vt:lpstr>
      <vt:lpstr>典型户型修正</vt:lpstr>
      <vt:lpstr>比较法-住宅租金</vt:lpstr>
      <vt:lpstr>成本法 (元)</vt:lpstr>
      <vt:lpstr>基准地价（汇总）</vt:lpstr>
      <vt:lpstr>基准地价修正</vt:lpstr>
      <vt:lpstr>修正</vt:lpstr>
      <vt:lpstr>容积率修正</vt:lpstr>
      <vt:lpstr>成本法（废）</vt:lpstr>
      <vt:lpstr>因素修正幅度</vt:lpstr>
      <vt:lpstr>区片价（范围）</vt:lpstr>
      <vt:lpstr>地价-分区</vt:lpstr>
      <vt:lpstr>地价</vt:lpstr>
      <vt:lpstr>案例</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'比较法-住宅租金'!Print_Area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2025-12-30T02:51:41Z</dcterms:modified>
</cp:coreProperties>
</file>