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157北京市大兴区魏善庄镇共有产权房在建工程\"/>
    </mc:Choice>
  </mc:AlternateContent>
  <xr:revisionPtr revIDLastSave="0" documentId="13_ncr:1_{D56A2409-EB4E-4425-AE7C-7FFE34279ACF}"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地价-分区" sheetId="79"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车位案例" sheetId="82"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2">'[2]比较法-办公'!$B$119:$M$119</definedName>
    <definedName name="办公层高">'比较法-办公'!$B$119:$M$119</definedName>
    <definedName name="办公朝向" localSheetId="13">'[1]比较法-办公'!$B$91:$M$91</definedName>
    <definedName name="办公朝向" localSheetId="22">'[2]比较法-办公'!$B$91:$M$91</definedName>
    <definedName name="办公朝向">'比较法-办公'!$B$91:$M$91</definedName>
    <definedName name="办公道路级别" localSheetId="13">'[1]比较法-办公'!$B$87:$M$87</definedName>
    <definedName name="办公道路级别" localSheetId="22">'[2]比较法-办公'!$B$87:$M$87</definedName>
    <definedName name="办公道路级别">'比较法-办公'!$B$87:$M$87</definedName>
    <definedName name="办公公共部分装修" localSheetId="13">'[1]比较法-办公'!$B$108:$M$108</definedName>
    <definedName name="办公公共部分装修" localSheetId="22">'[2]比较法-办公'!$B$108:$M$108</definedName>
    <definedName name="办公公共部分装修">'比较法-办公'!$B$108:$M$108</definedName>
    <definedName name="办公基础设施水平" localSheetId="13">'[1]比较法-办公'!$B$117:$M$117</definedName>
    <definedName name="办公基础设施水平" localSheetId="22">'[2]比较法-办公'!$B$117:$M$117</definedName>
    <definedName name="办公基础设施水平">'比较法-办公'!$B$117:$M$117</definedName>
    <definedName name="办公集聚程度" localSheetId="13">[1]定义!$M$1:$M$6</definedName>
    <definedName name="办公集聚程度" localSheetId="22">[2]定义!$M$1:$M$6</definedName>
    <definedName name="办公集聚程度">定义!$M$1:$M$6</definedName>
    <definedName name="办公建筑结构" localSheetId="13">'[1]比较法-办公'!$B$106:$M$106</definedName>
    <definedName name="办公建筑结构" localSheetId="22">'[2]比较法-办公'!$B$106:$M$106</definedName>
    <definedName name="办公建筑结构">'比较法-办公'!$B$106:$M$106</definedName>
    <definedName name="办公建筑类型" localSheetId="13">'[1]比较法-办公'!$B$101:$M$101</definedName>
    <definedName name="办公建筑类型" localSheetId="22">'[2]比较法-办公'!$B$101:$M$101</definedName>
    <definedName name="办公建筑类型">'比较法-办公'!$B$101:$M$101</definedName>
    <definedName name="办公交易情况" localSheetId="13">'[1]比较法-办公'!$A$62:$M$62</definedName>
    <definedName name="办公交易情况" localSheetId="22">'[2]比较法-办公'!$A$62:$M$62</definedName>
    <definedName name="办公交易情况">'比较法-办公'!$A$62:$M$62</definedName>
    <definedName name="办公楼层" localSheetId="13">'[1]比较法-办公'!$B$89:$M$89</definedName>
    <definedName name="办公楼层" localSheetId="22">'[2]比较法-办公'!$B$89:$M$89</definedName>
    <definedName name="办公楼层">'比较法-办公'!$B$89:$M$89</definedName>
    <definedName name="办公内部装修" localSheetId="13">'[1]比较法-办公'!$B$123:$M$123</definedName>
    <definedName name="办公内部装修" localSheetId="22">'[2]比较法-办公'!$B$123:$M$123</definedName>
    <definedName name="办公内部装修">'比较法-办公'!$B$123:$M$123</definedName>
    <definedName name="办公物业管理" localSheetId="13">'[1]比较法-办公'!$B$115:$M$115</definedName>
    <definedName name="办公物业管理" localSheetId="22">'[2]比较法-办公'!$B$115:$M$115</definedName>
    <definedName name="办公物业管理">'比较法-办公'!$B$115:$M$115</definedName>
    <definedName name="办公用途" localSheetId="13">'[1]比较法-办公'!$B$64:$M$64</definedName>
    <definedName name="办公用途" localSheetId="22">'[2]比较法-办公'!$B$64:$M$64</definedName>
    <definedName name="办公用途">'比较法-办公'!$B$64:$M$64</definedName>
    <definedName name="仓储公共部分装修" localSheetId="13">'[1]比较法-仓储'!$B$77:$M$77</definedName>
    <definedName name="仓储公共部分装修" localSheetId="22">'[2]比较法-仓储'!$B$77:$M$77</definedName>
    <definedName name="仓储公共部分装修">'比较法-仓储'!$B$77:$M$77</definedName>
    <definedName name="仓储交易情况" localSheetId="13">'[1]比较法-仓储'!$A$49:$M$49</definedName>
    <definedName name="仓储交易情况" localSheetId="22">'[2]比较法-仓储'!$A$49:$M$49</definedName>
    <definedName name="仓储交易情况">'比较法-仓储'!$A$49:$M$49</definedName>
    <definedName name="仓储楼层" localSheetId="13">'[1]比较法-仓储'!$B$69:$M$69</definedName>
    <definedName name="仓储楼层" localSheetId="22">'[2]比较法-仓储'!$B$69:$M$69</definedName>
    <definedName name="仓储楼层">'比较法-仓储'!$B$69:$M$69</definedName>
    <definedName name="仓储物业等级" localSheetId="13">'[1]比较法-仓储'!$B$82:$M$82</definedName>
    <definedName name="仓储物业等级" localSheetId="22">'[2]比较法-仓储'!$B$82:$M$82</definedName>
    <definedName name="仓储物业等级">'比较法-仓储'!$B$82:$M$82</definedName>
    <definedName name="仓储用途" localSheetId="13">'[1]比较法-仓储'!$B$51:$M$51</definedName>
    <definedName name="仓储用途" localSheetId="22">'[2]比较法-仓储'!$B$51:$M$51</definedName>
    <definedName name="仓储用途">'比较法-仓储'!$B$51:$M$51</definedName>
    <definedName name="产业集聚程度" localSheetId="13">[1]定义!$N$1:$N$6</definedName>
    <definedName name="产业集聚程度" localSheetId="22">[2]定义!$N$1:$N$6</definedName>
    <definedName name="产业集聚程度">定义!$N$1:$N$6</definedName>
    <definedName name="车位公共部分装修" localSheetId="13">'[1]比较法-车位'!$B$83:$M$83</definedName>
    <definedName name="车位公共部分装修" localSheetId="22">'[2]比较法-车位'!$B$83:$M$83</definedName>
    <definedName name="车位公共部分装修">'比较法-车位'!$B$83:$M$83</definedName>
    <definedName name="车位交易情况" localSheetId="13">'[1]比较法-车位'!$A$51:$M$51</definedName>
    <definedName name="车位交易情况" localSheetId="22">'[2]比较法-车位'!$A$51:$M$51</definedName>
    <definedName name="车位交易情况">'比较法-车位'!$A$51:$M$51</definedName>
    <definedName name="车位类型" localSheetId="13">'[1]比较法-车位'!$B$93:$M$93</definedName>
    <definedName name="车位类型" localSheetId="22">'[2]比较法-车位'!$B$93:$M$93</definedName>
    <definedName name="车位类型">'比较法-车位'!$B$93:$M$93</definedName>
    <definedName name="车位楼层" localSheetId="13">'[1]比较法-车位'!$B$71:$M$71</definedName>
    <definedName name="车位楼层" localSheetId="22">'[2]比较法-车位'!$B$71:$M$71</definedName>
    <definedName name="车位楼层">'比较法-车位'!$B$71:$M$71</definedName>
    <definedName name="车位配套类型" localSheetId="13">'[1]比较法-车位'!$B$79:$M$79</definedName>
    <definedName name="车位配套类型" localSheetId="22">'[2]比较法-车位'!$B$79:$M$79</definedName>
    <definedName name="车位配套类型">'比较法-车位'!$B$79:$M$79</definedName>
    <definedName name="车位物业等级" localSheetId="13">'[1]比较法-车位'!$B$88:$M$88</definedName>
    <definedName name="车位物业等级" localSheetId="22">'[2]比较法-车位'!$B$88:$M$88</definedName>
    <definedName name="车位物业等级">'比较法-车位'!$B$88:$M$88</definedName>
    <definedName name="车位用途" localSheetId="13">'[1]比较法-车位'!$B$53:$M$53</definedName>
    <definedName name="车位用途" localSheetId="22">'[2]比较法-车位'!$B$53:$M$53</definedName>
    <definedName name="车位用途">'比较法-车位'!$B$53:$M$53</definedName>
    <definedName name="城镇土地纳税等级分级范围" localSheetId="13">'[1]数据-取费表'!$A$53:$A$63</definedName>
    <definedName name="城镇土地纳税等级分级范围" localSheetId="22">'[2]数据-取费表'!$A$53:$A$63</definedName>
    <definedName name="城镇土地纳税等级分级范围">'数据-取费表'!$A$53:$A$63</definedName>
    <definedName name="单价内涵" localSheetId="13">[1]定义!$V$1:$V$3</definedName>
    <definedName name="单价内涵" localSheetId="22">[2]定义!$V$1:$V$3</definedName>
    <definedName name="单价内涵">定义!$V$1:$V$3</definedName>
    <definedName name="地类判定" localSheetId="13">[1]定义!$H$1:$H$9</definedName>
    <definedName name="地类判定" localSheetId="22">[2]定义!$H$1:$H$9</definedName>
    <definedName name="地类判定">定义!$H$1:$H$9</definedName>
    <definedName name="二级">区片价!$J$1:$J$21</definedName>
    <definedName name="二级分类" localSheetId="22">[2]修正!$C$19:$C$51</definedName>
    <definedName name="二级分类">修正!$C$19:$C$53</definedName>
    <definedName name="法定最高年限" localSheetId="13">[1]定义!$G$1:$G$6</definedName>
    <definedName name="法定最高年限" localSheetId="22">[2]定义!$G$1:$G$6</definedName>
    <definedName name="法定最高年限">定义!$G$1:$G$6</definedName>
    <definedName name="工业">定义!$AB$2:$AB$12</definedName>
    <definedName name="工业公共部分装修" localSheetId="13">'[1]比较法-工业'!$B$95:$M$95</definedName>
    <definedName name="工业公共部分装修" localSheetId="22">'[2]比较法-工业'!$B$95:$M$95</definedName>
    <definedName name="工业公共部分装修">'比较法-工业'!$B$95:$M$95</definedName>
    <definedName name="工业基础设施水平" localSheetId="13">'[1]比较法-工业'!$B$102:$M$102</definedName>
    <definedName name="工业基础设施水平" localSheetId="22">'[2]比较法-工业'!$B$102:$M$102</definedName>
    <definedName name="工业基础设施水平">'比较法-工业'!$B$102:$M$102</definedName>
    <definedName name="工业建筑结构" localSheetId="13">'[1]比较法-工业'!$B$93:$M$93</definedName>
    <definedName name="工业建筑结构" localSheetId="22">'[2]比较法-工业'!$B$93:$M$93</definedName>
    <definedName name="工业建筑结构">'比较法-工业'!$B$93:$M$93</definedName>
    <definedName name="工业建筑类型" localSheetId="13">'[1]比较法-工业'!$B$88:$M$88</definedName>
    <definedName name="工业建筑类型" localSheetId="22">'[2]比较法-工业'!$B$88:$M$88</definedName>
    <definedName name="工业建筑类型">'比较法-工业'!$B$88:$M$88</definedName>
    <definedName name="工业交易情况" localSheetId="13">'[1]比较法-工业'!$A$55:$M$55</definedName>
    <definedName name="工业交易情况" localSheetId="22">'[2]比较法-工业'!$A$55:$M$55</definedName>
    <definedName name="工业交易情况">'比较法-工业'!$A$55:$M$55</definedName>
    <definedName name="工业内部装修" localSheetId="13">'[1]比较法-工业'!$B$104:$M$104</definedName>
    <definedName name="工业内部装修" localSheetId="22">'[2]比较法-工业'!$B$104:$M$104</definedName>
    <definedName name="工业内部装修">'比较法-工业'!$B$104:$M$104</definedName>
    <definedName name="工业物业管理" localSheetId="13">'[1]比较法-工业'!$B$100:$M$100</definedName>
    <definedName name="工业物业管理" localSheetId="22">'[2]比较法-工业'!$B$100:$M$100</definedName>
    <definedName name="工业物业管理">'比较法-工业'!$B$100:$M$100</definedName>
    <definedName name="工业用途" localSheetId="13">'[1]比较法-工业'!$B$57:$M$57</definedName>
    <definedName name="工业用途" localSheetId="22">'[2]比较法-工业'!$B$57:$M$57</definedName>
    <definedName name="工业用途">'比较法-工业'!$B$57:$M$57</definedName>
    <definedName name="公共服务">定义!$Z$2:$Z$14</definedName>
    <definedName name="公共配套设施" localSheetId="13">[1]定义!$Q$1:$Q$6</definedName>
    <definedName name="公共配套设施" localSheetId="22">[2]定义!$Q$1:$Q$6</definedName>
    <definedName name="公共配套设施">定义!$Q$1:$Q$6</definedName>
    <definedName name="估价范围判定" localSheetId="13">[1]定义!$D$1:$D$4</definedName>
    <definedName name="估价范围判定" localSheetId="22">[2]定义!$D$1:$D$4</definedName>
    <definedName name="估价范围判定">定义!$D$1:$D$4</definedName>
    <definedName name="估价方法" localSheetId="13">[1]定义!$B$1:$B$50</definedName>
    <definedName name="估价方法" localSheetId="22">[2]定义!$B$1:$B$50</definedName>
    <definedName name="估价方法">定义!$B$1:$B$50</definedName>
    <definedName name="环境" localSheetId="13">[1]定义!$S$1:$S$6</definedName>
    <definedName name="环境" localSheetId="22">[2]定义!$S$1:$S$6</definedName>
    <definedName name="环境">定义!$S$1:$S$6</definedName>
    <definedName name="基础设施水平" localSheetId="13">[1]定义!$R$1:$R$6</definedName>
    <definedName name="基础设施水平" localSheetId="22">[2]定义!$R$1:$R$6</definedName>
    <definedName name="基础设施水平">定义!$R$1:$R$6</definedName>
    <definedName name="季度">基准地价修正!$Q$19:$AD$19</definedName>
    <definedName name="价值类型2" localSheetId="13">[1]定义!$B$54:$B$56</definedName>
    <definedName name="价值类型2" localSheetId="22">[2]定义!$B$54:$B$56</definedName>
    <definedName name="价值类型2">定义!$B$54:$B$56</definedName>
    <definedName name="交通便捷度" localSheetId="13">[1]定义!$O$1:$O$6</definedName>
    <definedName name="交通便捷度" localSheetId="22">[2]定义!$O$1:$O$6</definedName>
    <definedName name="交通便捷度">定义!$O$1:$O$6</definedName>
    <definedName name="九级">区片价!$Q$1:$Q$51</definedName>
    <definedName name="居住社区成熟度" localSheetId="13">[1]定义!$K$1:$K$6</definedName>
    <definedName name="居住社区成熟度" localSheetId="22">[2]定义!$K$1:$K$6</definedName>
    <definedName name="居住社区成熟度">定义!$K$1:$K$6</definedName>
    <definedName name="类别" localSheetId="13">[1]定义!$J$1:$J$3</definedName>
    <definedName name="类别" localSheetId="22">[2]定义!$J$1:$J$3</definedName>
    <definedName name="类别">定义!$J$1:$J$3</definedName>
    <definedName name="临街状况" localSheetId="13">[1]定义!$T$1:$T$5</definedName>
    <definedName name="临街状况" localSheetId="22">[2]定义!$T$1:$T$5</definedName>
    <definedName name="临街状况">定义!$T$1:$T$5</definedName>
    <definedName name="六级">区片价!$N$1:$N$64</definedName>
    <definedName name="内部装修维护情况" localSheetId="13">[1]定义!$U$1:$U$6</definedName>
    <definedName name="内部装修维护情况" localSheetId="22">[2]定义!$U$1:$U$6</definedName>
    <definedName name="内部装修维护情况">定义!$U$1:$U$6</definedName>
    <definedName name="七级">区片价!$O$1:$O$45</definedName>
    <definedName name="七通一平" localSheetId="13">[1]修正!$A$8:$A$16</definedName>
    <definedName name="七通一平" localSheetId="22">[2]修正!$A$8:$A$16</definedName>
    <definedName name="七通一平">修正!$A$8:$A$16</definedName>
    <definedName name="区域土地利用方向" localSheetId="13">[1]定义!$P$1:$P$6</definedName>
    <definedName name="区域土地利用方向" localSheetId="22">[2]定义!$P$1:$P$6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13">[1]定义!$L$1:$L$6</definedName>
    <definedName name="商业繁华度" localSheetId="22">[2]定义!$L$1:$L$6</definedName>
    <definedName name="商业繁华度">定义!$L$1:$L$6</definedName>
    <definedName name="商业公共部分装修" localSheetId="13">'[1]比较法-商业'!$B$107:$M$107</definedName>
    <definedName name="商业公共部分装修" localSheetId="22">'[2]比较法-商业'!$B$107:$M$107</definedName>
    <definedName name="商业公共部分装修">'比较法-商业'!$B$107:$M$107</definedName>
    <definedName name="商业基础设施水平" localSheetId="13">'[1]比较法-商业'!$B$112:$M$112</definedName>
    <definedName name="商业基础设施水平" localSheetId="22">'[2]比较法-商业'!$B$112:$M$112</definedName>
    <definedName name="商业基础设施水平">'比较法-商业'!$B$112:$M$112</definedName>
    <definedName name="商业建筑结构" localSheetId="13">'[1]比较法-商业'!$B$105:$M$105</definedName>
    <definedName name="商业建筑结构" localSheetId="22">'[2]比较法-商业'!$B$105:$M$105</definedName>
    <definedName name="商业建筑结构">'比较法-商业'!$B$105:$M$105</definedName>
    <definedName name="商业交易情况" localSheetId="13">'[1]比较法-商业'!$A$61:$M$61</definedName>
    <definedName name="商业交易情况" localSheetId="22">'[2]比较法-商业'!$A$61:$M$61</definedName>
    <definedName name="商业交易情况">'比较法-商业'!$A$61:$M$61</definedName>
    <definedName name="商业街名称" localSheetId="13">[1]修正!$C$73:$C$140</definedName>
    <definedName name="商业街名称" localSheetId="22">[2]修正!$C$71:$C$138</definedName>
    <definedName name="商业街名称">修正!$C$73:$C$140</definedName>
    <definedName name="商业进深比" localSheetId="13">'[1]比较法-商业'!$B$120:$M$120</definedName>
    <definedName name="商业进深比" localSheetId="22">'[2]比较法-商业'!$B$120:$M$120</definedName>
    <definedName name="商业进深比">'比较法-商业'!$B$120:$M$120</definedName>
    <definedName name="商业类型" localSheetId="13">'[1]比较法-商业'!$B$100:$M$100</definedName>
    <definedName name="商业类型" localSheetId="22">'[2]比较法-商业'!$B$100:$M$100</definedName>
    <definedName name="商业类型">'比较法-商业'!$B$100:$M$100</definedName>
    <definedName name="商业临街状况" localSheetId="13">'[1]比较法-商业'!$B$86:$M$86</definedName>
    <definedName name="商业临街状况" localSheetId="22">'[2]比较法-商业'!$B$86:$M$86</definedName>
    <definedName name="商业临街状况">'比较法-商业'!$B$86:$M$86</definedName>
    <definedName name="商业楼层" localSheetId="13">'[1]比较法-商业'!$B$92:$M$92</definedName>
    <definedName name="商业楼层" localSheetId="22">'[2]比较法-商业'!$B$92:$M$92</definedName>
    <definedName name="商业楼层">'比较法-商业'!$B$92:$M$92</definedName>
    <definedName name="商业内部装修" localSheetId="13">'[1]比较法-商业'!$B$122:$M$122</definedName>
    <definedName name="商业内部装修" localSheetId="22">'[2]比较法-商业'!$B$122:$M$122</definedName>
    <definedName name="商业内部装修">'比较法-商业'!$B$122:$M$122</definedName>
    <definedName name="商业人流量" localSheetId="13">'[1]比较法-商业'!$B$90:$M$90</definedName>
    <definedName name="商业人流量" localSheetId="22">'[2]比较法-商业'!$B$90:$M$90</definedName>
    <definedName name="商业人流量">'比较法-商业'!$B$90:$M$90</definedName>
    <definedName name="商业业态" localSheetId="13">'[1]比较法-商业'!$B$114:$M$114</definedName>
    <definedName name="商业业态" localSheetId="22">'[2]比较法-商业'!$B$114:$M$114</definedName>
    <definedName name="商业业态">'比较法-商业'!$B$114:$M$114</definedName>
    <definedName name="商业用途" localSheetId="13">'[1]比较法-商业'!$B$63:$M$63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2">'[2]比较法-仓储'!$B$89:$M$89</definedName>
    <definedName name="是否封闭">'比较法-仓储'!$B$89:$M$89</definedName>
    <definedName name="是否直接入户" localSheetId="13">'[1]比较法-车位'!$B$95:$M$95</definedName>
    <definedName name="是否直接入户" localSheetId="22">'[2]比较法-车位'!$B$95:$M$95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2">'[2]土地比较法-工业'!$B$97:$M$97</definedName>
    <definedName name="套工道路等级">'土地比较法-工业'!$B$97:$M$97</definedName>
    <definedName name="套工地质条件" localSheetId="13">'[1]土地比较法-工业'!$B$114:$M$114</definedName>
    <definedName name="套工地质条件" localSheetId="22">'[2]土地比较法-工业'!$B$114:$M$114</definedName>
    <definedName name="套工地质条件">'土地比较法-工业'!$B$114:$M$114</definedName>
    <definedName name="套工交易情况" localSheetId="13">'[1]土地比较法-住宅、综合'!$A$72:$M$72</definedName>
    <definedName name="套工交易情况" localSheetId="22">'[2]土地比较法-住宅、综合'!$A$72:$M$72</definedName>
    <definedName name="套工交易情况">'土地比较法-住宅、综合'!$A$72:$M$72</definedName>
    <definedName name="套工土地级别" localSheetId="13">'[1]土地比较法-工业'!$B$99:$M$99</definedName>
    <definedName name="套工土地级别" localSheetId="22">'[2]土地比较法-工业'!$B$99:$M$99</definedName>
    <definedName name="套工土地级别">'土地比较法-工业'!$B$99:$M$99</definedName>
    <definedName name="套工用途" localSheetId="13">'[1]土地比较法-工业'!$B$70:$M$70</definedName>
    <definedName name="套工用途" localSheetId="22">'[2]土地比较法-工业'!$B$70:$M$70</definedName>
    <definedName name="套工用途">'土地比较法-工业'!$B$70:$M$70</definedName>
    <definedName name="套工宗地开发程度" localSheetId="13">'[1]土地比较法-工业'!$B$112:$M$112</definedName>
    <definedName name="套工宗地开发程度" localSheetId="22">'[2]土地比较法-工业'!$B$112:$M$112</definedName>
    <definedName name="套工宗地开发程度">'土地比较法-工业'!$B$112:$M$112</definedName>
    <definedName name="套工宗地形状" localSheetId="13">'[1]土地比较法-工业'!$B$110:$M$110</definedName>
    <definedName name="套工宗地形状" localSheetId="22">'[2]土地比较法-工业'!$B$110:$M$110</definedName>
    <definedName name="套工宗地形状">'土地比较法-工业'!$B$110:$M$110</definedName>
    <definedName name="套综道路等级" localSheetId="13">'[1]土地比较法-住宅、综合'!$B$105:$M$105</definedName>
    <definedName name="套综道路等级" localSheetId="22">'[2]土地比较法-住宅、综合'!$B$105:$M$105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13">'[1]土地比较法-住宅、综合'!$A$72:$M$72</definedName>
    <definedName name="套综交易情况" localSheetId="22">'[2]土地比较法-住宅、综合'!$A$72:$M$72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2">'[2]土地比较法-住宅、综合'!$B$107:$M$107</definedName>
    <definedName name="套综土地级别">'土地比较法-住宅、综合'!$B$107:$M$107</definedName>
    <definedName name="套综用途" localSheetId="13">'[1]土地比较法-住宅、综合'!$B$74:$M$74</definedName>
    <definedName name="套综用途" localSheetId="22">'[2]土地比较法-住宅、综合'!$B$74:$M$74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[2]定义!$E$2:$E$4</definedName>
    <definedName name="位置">定义!$E$2:$E$4</definedName>
    <definedName name="五等判定" localSheetId="13">[1]定义!$W$1:$W$6</definedName>
    <definedName name="五等判定" localSheetId="22">[2]定义!$W$1:$W$6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 localSheetId="22">'[2]比较法-办公'!$B$113:$M$113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[2]典型户型修正!$5:$5</definedName>
    <definedName name="一修多修正项2">典型户型修正!$5:$5</definedName>
    <definedName name="一修多修正项3" localSheetId="13">[1]典型户型修正!$7:$7</definedName>
    <definedName name="一修多修正项3" localSheetId="22">[2]典型户型修正!$7:$7</definedName>
    <definedName name="一修多修正项3">典型户型修正!$7:$7</definedName>
    <definedName name="一修多修正项4" localSheetId="13">[1]典型户型修正!$9:$9</definedName>
    <definedName name="一修多修正项4" localSheetId="22">[2]典型户型修正!$9:$9</definedName>
    <definedName name="一修多修正项4">典型户型修正!$9:$9</definedName>
    <definedName name="一修多修正项5" localSheetId="13">[1]典型户型修正!$11:$11</definedName>
    <definedName name="一修多修正项5" localSheetId="22">[2]典型户型修正!$11:$11</definedName>
    <definedName name="一修多修正项5">典型户型修正!$11:$11</definedName>
    <definedName name="一修多修正项6" localSheetId="13">[1]典型户型修正!$13:$13</definedName>
    <definedName name="一修多修正项6" localSheetId="22">[2]典型户型修正!$13:$13</definedName>
    <definedName name="一修多修正项6">典型户型修正!$13:$13</definedName>
    <definedName name="一修多修正项7" localSheetId="13">[1]典型户型修正!$15:$15</definedName>
    <definedName name="一修多修正项7" localSheetId="22">[2]典型户型修正!$15:$15</definedName>
    <definedName name="一修多修正项7">典型户型修正!$15:$15</definedName>
    <definedName name="一修多修正项8" localSheetId="13">[1]典型户型修正!$17:$17</definedName>
    <definedName name="一修多修正项8" localSheetId="22">[2]典型户型修正!$17:$17</definedName>
    <definedName name="一修多修正项8">典型户型修正!$17:$17</definedName>
    <definedName name="用途明细" localSheetId="13">[1]定义!$A$1:$A$50</definedName>
    <definedName name="用途明细" localSheetId="22">[2]定义!$A$1:$A$50</definedName>
    <definedName name="用途明细">定义!$A$1:$A$50</definedName>
    <definedName name="有无电梯" localSheetId="13">'[1]比较法-仓储'!$B$84:$M$84</definedName>
    <definedName name="有无电梯" localSheetId="22">'[2]比较法-仓储'!$B$84:$M$84</definedName>
    <definedName name="有无电梯">'比较法-仓储'!$B$84:$M$84</definedName>
    <definedName name="主用途" localSheetId="13">[1]定义!$F$1:$F$12</definedName>
    <definedName name="主用途" localSheetId="22">[2]定义!$F$1:$F$12</definedName>
    <definedName name="主用途">定义!$F$1:$F$12</definedName>
    <definedName name="住宅">定义!$AA$2</definedName>
    <definedName name="住宅朝向" localSheetId="13">'[1]比较法-住宅'!$B$88:$M$88</definedName>
    <definedName name="住宅朝向" localSheetId="22">'[2]比较法-住宅'!$B$88:$M$88</definedName>
    <definedName name="住宅朝向">'比较法-住宅'!$B$88:$M$88</definedName>
    <definedName name="住宅房型" localSheetId="13">'[1]比较法-住宅'!$B$118:$M$118</definedName>
    <definedName name="住宅房型" localSheetId="22">'[2]比较法-住宅'!$B$118:$M$118</definedName>
    <definedName name="住宅房型">'比较法-住宅'!$B$118:$M$118</definedName>
    <definedName name="住宅公共部分装修" localSheetId="13">'[1]比较法-住宅'!$B$109:$M$109</definedName>
    <definedName name="住宅公共部分装修" localSheetId="22">'[2]比较法-住宅'!$B$109:$M$109</definedName>
    <definedName name="住宅公共部分装修">'比较法-住宅'!$B$109:$M$109</definedName>
    <definedName name="住宅基础设施水平" localSheetId="13">'[1]比较法-住宅'!$B$116:$M$116</definedName>
    <definedName name="住宅基础设施水平" localSheetId="22">'[2]比较法-住宅'!$B$116:$M$116</definedName>
    <definedName name="住宅基础设施水平">'比较法-住宅'!$B$116:$M$116</definedName>
    <definedName name="住宅建筑结构" localSheetId="13">'[1]比较法-住宅'!$B$105:$M$105</definedName>
    <definedName name="住宅建筑结构" localSheetId="22">'[2]比较法-住宅'!$B$105:$M$105</definedName>
    <definedName name="住宅建筑结构">'比较法-住宅'!$B$105:$M$105</definedName>
    <definedName name="住宅建筑类型" localSheetId="13">'[1]比较法-住宅'!$B$100:$M$100</definedName>
    <definedName name="住宅建筑类型" localSheetId="22">'[2]比较法-住宅'!$B$100:$M$100</definedName>
    <definedName name="住宅建筑类型">'比较法-住宅'!$B$100:$M$100</definedName>
    <definedName name="住宅建筑品质" localSheetId="13">'[1]比较法-住宅'!$B$107:$M$107</definedName>
    <definedName name="住宅建筑品质" localSheetId="22">'[2]比较法-住宅'!$B$107:$M$107</definedName>
    <definedName name="住宅建筑品质">'比较法-住宅'!$B$107:$M$107</definedName>
    <definedName name="住宅交易情况" localSheetId="13">'[1]比较法-住宅'!$A$61:$M$61</definedName>
    <definedName name="住宅交易情况" localSheetId="22">'[2]比较法-住宅'!$A$61:$M$61</definedName>
    <definedName name="住宅交易情况">'比较法-住宅'!$A$61:$M$61</definedName>
    <definedName name="住宅楼层" localSheetId="13">'[1]比较法-住宅'!$B$86:$M$86</definedName>
    <definedName name="住宅楼层" localSheetId="22">'[2]比较法-住宅'!$B$86:$M$86</definedName>
    <definedName name="住宅楼层">'比较法-住宅'!$B$86:$M$86</definedName>
    <definedName name="住宅内部装修" localSheetId="13">'[1]比较法-住宅'!$B$122:$M$122</definedName>
    <definedName name="住宅内部装修" localSheetId="22">'[2]比较法-住宅'!$B$122:$M$122</definedName>
    <definedName name="住宅内部装修">'比较法-住宅'!$B$122:$M$122</definedName>
    <definedName name="住宅物业管理" localSheetId="13">'[1]比较法-住宅'!$B$114:$M$114</definedName>
    <definedName name="住宅物业管理" localSheetId="22">'[2]比较法-住宅'!$B$114:$M$114</definedName>
    <definedName name="住宅物业管理">'比较法-住宅'!$B$114:$M$114</definedName>
    <definedName name="住宅用途" localSheetId="13">'[1]比较法-住宅'!$B$63:$M$63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2">[2]估价师及机构信息!$A$3:$A$16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D21" i="6" l="1"/>
  <c r="D20" i="6"/>
  <c r="D19" i="6"/>
  <c r="U13" i="82"/>
  <c r="U14" i="82"/>
  <c r="I29" i="35" l="1"/>
  <c r="E29" i="35"/>
  <c r="G29" i="35"/>
  <c r="I37" i="35"/>
  <c r="I31" i="35"/>
  <c r="G31" i="35"/>
  <c r="G37" i="35"/>
  <c r="E37" i="35"/>
  <c r="E31" i="35"/>
  <c r="C31" i="35"/>
  <c r="S56" i="82"/>
  <c r="S55" i="82"/>
  <c r="S14" i="82"/>
  <c r="S13" i="82"/>
  <c r="I7" i="35"/>
  <c r="G7" i="35"/>
  <c r="E7" i="35"/>
  <c r="C8" i="12"/>
  <c r="C6" i="68"/>
  <c r="I5" i="39"/>
  <c r="G5" i="39"/>
  <c r="E5" i="39"/>
  <c r="I46" i="39"/>
  <c r="G46" i="39"/>
  <c r="E46" i="39"/>
  <c r="I38" i="39"/>
  <c r="G38" i="39"/>
  <c r="E38" i="39"/>
  <c r="I7" i="39"/>
  <c r="G7" i="39"/>
  <c r="E7" i="39"/>
  <c r="M70" i="39" l="1"/>
  <c r="L70" i="39"/>
  <c r="K70" i="39"/>
  <c r="J70" i="39"/>
  <c r="I70" i="39"/>
  <c r="H70" i="39"/>
  <c r="G70" i="39"/>
  <c r="D70" i="39"/>
  <c r="F70" i="39"/>
  <c r="E70" i="39"/>
  <c r="AH8" i="1"/>
  <c r="N8" i="1"/>
  <c r="N7" i="1"/>
  <c r="N6" i="1"/>
  <c r="W22" i="80"/>
  <c r="X21" i="80"/>
  <c r="X20" i="80"/>
  <c r="X19" i="80"/>
  <c r="X18" i="80"/>
  <c r="X22" i="80" s="1"/>
  <c r="U22" i="80"/>
  <c r="U21" i="80"/>
  <c r="U20" i="80"/>
  <c r="U19" i="80"/>
  <c r="U18" i="80"/>
  <c r="G21" i="6"/>
  <c r="G20" i="6"/>
  <c r="F19" i="6"/>
  <c r="C21" i="6"/>
  <c r="C20" i="6"/>
  <c r="C19" i="6"/>
  <c r="A3" i="3"/>
  <c r="M15" i="3"/>
  <c r="K14" i="3"/>
  <c r="T7" i="80"/>
  <c r="S7" i="80"/>
  <c r="T6" i="80"/>
  <c r="T5" i="80"/>
  <c r="S6" i="80"/>
  <c r="S5" i="80"/>
  <c r="T4" i="80"/>
  <c r="S4" i="80"/>
  <c r="I13" i="3" s="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5" i="79"/>
  <c r="AG35" i="79" s="1"/>
  <c r="S33" i="79"/>
  <c r="AG33" i="79" s="1"/>
  <c r="AA31" i="79"/>
  <c r="AD31" i="79" s="1"/>
  <c r="T40" i="79"/>
  <c r="U46" i="79"/>
  <c r="AI46" i="79" s="1"/>
  <c r="AD47" i="79"/>
  <c r="S48" i="79"/>
  <c r="AG48" i="79" s="1"/>
  <c r="U50" i="79"/>
  <c r="AI50" i="79" s="1"/>
  <c r="AD51" i="79"/>
  <c r="AD36" i="79"/>
  <c r="AD34" i="79"/>
  <c r="AD38" i="79"/>
  <c r="AD35"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4" i="79"/>
  <c r="T35" i="79"/>
  <c r="T33" i="79"/>
  <c r="W22" i="79"/>
  <c r="AK22" i="79" s="1"/>
  <c r="AH22"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3" i="71"/>
  <c r="C87" i="71"/>
  <c r="F28" i="71"/>
  <c r="F27" i="71" s="1"/>
  <c r="F26" i="71" s="1"/>
  <c r="D83" i="71"/>
  <c r="C82" i="71"/>
  <c r="D82" i="71"/>
  <c r="N66" i="71"/>
  <c r="C60" i="71"/>
  <c r="D59" i="71"/>
  <c r="P67" i="71"/>
  <c r="E66" i="71"/>
  <c r="T60" i="71"/>
  <c r="D60" i="71"/>
  <c r="O27" i="6"/>
  <c r="N27" i="6"/>
  <c r="P20" i="6"/>
  <c r="P21" i="6"/>
  <c r="P22" i="6"/>
  <c r="P23" i="6"/>
  <c r="P24" i="6"/>
  <c r="P25" i="6"/>
  <c r="P26" i="6"/>
  <c r="P19" i="6"/>
  <c r="AP8" i="1"/>
  <c r="AP9" i="1"/>
  <c r="AP10" i="1"/>
  <c r="AP11" i="1"/>
  <c r="AP12" i="1"/>
  <c r="AP13" i="1"/>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18" i="36"/>
  <c r="S21" i="37"/>
  <c r="U21" i="34"/>
  <c r="S21" i="33"/>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AC30" i="36" s="1"/>
  <c r="H30" i="36"/>
  <c r="F30" i="36"/>
  <c r="AA30" i="36" s="1"/>
  <c r="C26" i="35"/>
  <c r="C79" i="35" s="1"/>
  <c r="J31" i="35"/>
  <c r="H31" i="35"/>
  <c r="AB31" i="35" s="1"/>
  <c r="F31" i="35"/>
  <c r="AA31" i="35" s="1"/>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U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J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F35" i="35" s="1"/>
  <c r="AA35" i="35" s="1"/>
  <c r="B97" i="35"/>
  <c r="B77" i="35"/>
  <c r="F25" i="35" s="1"/>
  <c r="B75" i="35"/>
  <c r="J24" i="35" s="1"/>
  <c r="AC24" i="35" s="1"/>
  <c r="B73" i="35"/>
  <c r="J23" i="35" s="1"/>
  <c r="AC23" i="35" s="1"/>
  <c r="H23" i="35"/>
  <c r="U23" i="35" s="1"/>
  <c r="B57" i="35"/>
  <c r="B61" i="35"/>
  <c r="H13" i="35" s="1"/>
  <c r="U13" i="35" s="1"/>
  <c r="B59" i="35"/>
  <c r="F12" i="35" s="1"/>
  <c r="B131" i="34"/>
  <c r="B129" i="34"/>
  <c r="B127" i="34"/>
  <c r="F45" i="34" s="1"/>
  <c r="S45" i="34" s="1"/>
  <c r="B99" i="34"/>
  <c r="B97" i="34"/>
  <c r="B95" i="34"/>
  <c r="B93" i="34"/>
  <c r="J29" i="34" s="1"/>
  <c r="B75" i="34"/>
  <c r="B73" i="34"/>
  <c r="B71" i="34"/>
  <c r="J12" i="34" s="1"/>
  <c r="W12" i="34" s="1"/>
  <c r="B130" i="33"/>
  <c r="F46" i="33" s="1"/>
  <c r="B128" i="33"/>
  <c r="B126" i="33"/>
  <c r="B98" i="33"/>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H46" i="21" s="1"/>
  <c r="U46" i="21" s="1"/>
  <c r="B128" i="21"/>
  <c r="J45" i="21"/>
  <c r="W45" i="21" s="1"/>
  <c r="B126" i="21"/>
  <c r="B98" i="2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J44" i="39"/>
  <c r="AC44" i="39" s="1"/>
  <c r="F36" i="39"/>
  <c r="S36" i="39" s="1"/>
  <c r="H36" i="39"/>
  <c r="AB36" i="39" s="1"/>
  <c r="J35" i="39"/>
  <c r="AC35" i="39" s="1"/>
  <c r="J36" i="39"/>
  <c r="AC36" i="39" s="1"/>
  <c r="W25" i="37"/>
  <c r="U30" i="37"/>
  <c r="W31" i="37"/>
  <c r="F39" i="37"/>
  <c r="S39" i="37" s="1"/>
  <c r="F29" i="36"/>
  <c r="AA29" i="36" s="1"/>
  <c r="F16" i="36"/>
  <c r="AA16" i="36" s="1"/>
  <c r="W28" i="36"/>
  <c r="U31" i="36"/>
  <c r="J33" i="36"/>
  <c r="AC33" i="36" s="1"/>
  <c r="H22" i="35"/>
  <c r="AB22" i="35" s="1"/>
  <c r="AC27" i="35"/>
  <c r="W22" i="35"/>
  <c r="F36" i="34"/>
  <c r="J35"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s="1"/>
  <c r="F27" i="39"/>
  <c r="AA27" i="39" s="1"/>
  <c r="F11" i="21"/>
  <c r="S11" i="21" s="1"/>
  <c r="S40" i="21"/>
  <c r="U34" i="21"/>
  <c r="H11" i="39"/>
  <c r="AB11" i="39" s="1"/>
  <c r="C15" i="39"/>
  <c r="H32" i="33"/>
  <c r="AB32" i="33"/>
  <c r="H11" i="21"/>
  <c r="U11" i="21" s="1"/>
  <c r="J11" i="21"/>
  <c r="W11" i="21" s="1"/>
  <c r="H37" i="40"/>
  <c r="U37" i="40"/>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s="1"/>
  <c r="H10" i="35"/>
  <c r="U10" i="35" s="1"/>
  <c r="F33" i="36"/>
  <c r="AA33" i="36" s="1"/>
  <c r="W30" i="36"/>
  <c r="H16" i="36"/>
  <c r="AB16" i="36"/>
  <c r="J29" i="36"/>
  <c r="AC29" i="36" s="1"/>
  <c r="F12" i="36"/>
  <c r="F24" i="36"/>
  <c r="AA24" i="36" s="1"/>
  <c r="F34" i="36"/>
  <c r="S34" i="36" s="1"/>
  <c r="F23" i="35"/>
  <c r="AA23" i="35" s="1"/>
  <c r="J32" i="35"/>
  <c r="AC32" i="35" s="1"/>
  <c r="J16" i="35"/>
  <c r="AC16" i="35" s="1"/>
  <c r="H16" i="35"/>
  <c r="U16" i="35" s="1"/>
  <c r="F16" i="35"/>
  <c r="S16" i="35" s="1"/>
  <c r="H33"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H37" i="33"/>
  <c r="AB37" i="33"/>
  <c r="H15" i="33"/>
  <c r="AB15" i="33" s="1"/>
  <c r="H11" i="33"/>
  <c r="AB11" i="33" s="1"/>
  <c r="F28" i="40"/>
  <c r="AA28" i="40"/>
  <c r="S42" i="34"/>
  <c r="AC38" i="34"/>
  <c r="J37" i="34"/>
  <c r="AC37" i="34" s="1"/>
  <c r="J11" i="33"/>
  <c r="W11" i="33" s="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AB26" i="33" s="1"/>
  <c r="U26" i="33"/>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J30" i="33"/>
  <c r="H44" i="33"/>
  <c r="J44" i="33"/>
  <c r="AC44" i="33"/>
  <c r="F44" i="33"/>
  <c r="S44" i="33" s="1"/>
  <c r="H13" i="34"/>
  <c r="U13" i="34" s="1"/>
  <c r="J13" i="34"/>
  <c r="W13" i="34"/>
  <c r="F13" i="34"/>
  <c r="AA13" i="34" s="1"/>
  <c r="J31" i="34"/>
  <c r="AC31" i="34"/>
  <c r="H31" i="34"/>
  <c r="F31" i="34"/>
  <c r="S31" i="34" s="1"/>
  <c r="H45" i="34"/>
  <c r="U45" i="34" s="1"/>
  <c r="H47" i="34"/>
  <c r="U47" i="34"/>
  <c r="F47" i="34"/>
  <c r="S47" i="34" s="1"/>
  <c r="J47" i="34"/>
  <c r="AC47" i="34"/>
  <c r="H25" i="35"/>
  <c r="AB25" i="35" s="1"/>
  <c r="J35" i="35"/>
  <c r="AC35" i="35" s="1"/>
  <c r="J25" i="36"/>
  <c r="W25" i="36" s="1"/>
  <c r="F25" i="36"/>
  <c r="S25" i="36" s="1"/>
  <c r="H25" i="36"/>
  <c r="AB25" i="36"/>
  <c r="H13" i="37"/>
  <c r="AB13" i="37" s="1"/>
  <c r="F13" i="37"/>
  <c r="S13" i="37" s="1"/>
  <c r="J13" i="37"/>
  <c r="W13" i="37" s="1"/>
  <c r="J28" i="37"/>
  <c r="AC28" i="37"/>
  <c r="H28" i="37"/>
  <c r="H38" i="37"/>
  <c r="AB38" i="37"/>
  <c r="J38" i="37"/>
  <c r="AC38" i="37" s="1"/>
  <c r="F38" i="37"/>
  <c r="S38" i="37" s="1"/>
  <c r="F43" i="39"/>
  <c r="AA43" i="39" s="1"/>
  <c r="H43" i="39"/>
  <c r="J14" i="39"/>
  <c r="AC14" i="39" s="1"/>
  <c r="F14" i="39"/>
  <c r="S14" i="39" s="1"/>
  <c r="H14" i="39"/>
  <c r="AB14" i="39" s="1"/>
  <c r="F12" i="40"/>
  <c r="S12" i="40" s="1"/>
  <c r="H12" i="40"/>
  <c r="AB12" i="40"/>
  <c r="H30" i="40"/>
  <c r="AB30" i="40" s="1"/>
  <c r="F33" i="40"/>
  <c r="AA33" i="40" s="1"/>
  <c r="H33" i="40"/>
  <c r="U33" i="40" s="1"/>
  <c r="J35" i="40"/>
  <c r="AC35" i="40"/>
  <c r="J37" i="40"/>
  <c r="AC37" i="40" s="1"/>
  <c r="H13" i="40"/>
  <c r="U13" i="40"/>
  <c r="J13" i="40"/>
  <c r="W13" i="40" s="1"/>
  <c r="F13" i="40"/>
  <c r="AA13" i="40"/>
  <c r="F14" i="37"/>
  <c r="S14" i="37" s="1"/>
  <c r="F27" i="37"/>
  <c r="AA27" i="37" s="1"/>
  <c r="F13" i="39"/>
  <c r="AA13" i="39" s="1"/>
  <c r="H14" i="40"/>
  <c r="AB14" i="40"/>
  <c r="J14" i="40"/>
  <c r="W14" i="40" s="1"/>
  <c r="F14" i="40"/>
  <c r="S14" i="40" s="1"/>
  <c r="J14" i="37"/>
  <c r="J27" i="37"/>
  <c r="AC27" i="37"/>
  <c r="AA14" i="33"/>
  <c r="J36" i="37"/>
  <c r="AC36" i="37" s="1"/>
  <c r="J10" i="36"/>
  <c r="AC10" i="36" s="1"/>
  <c r="AA14" i="37"/>
  <c r="W31" i="34"/>
  <c r="AB46" i="34"/>
  <c r="AA14" i="34"/>
  <c r="S45" i="33"/>
  <c r="S44" i="34"/>
  <c r="F17" i="21"/>
  <c r="AA17" i="21" s="1"/>
  <c r="H17" i="21"/>
  <c r="AB17" i="21" s="1"/>
  <c r="F15" i="21"/>
  <c r="S15" i="21" s="1"/>
  <c r="J41" i="39"/>
  <c r="W41" i="39" s="1"/>
  <c r="W44" i="39"/>
  <c r="U36" i="39"/>
  <c r="G544" i="3"/>
  <c r="G540" i="3"/>
  <c r="G536" i="3"/>
  <c r="G535" i="3"/>
  <c r="G531" i="3"/>
  <c r="G528" i="3"/>
  <c r="G527" i="3"/>
  <c r="G518" i="3"/>
  <c r="G514" i="3"/>
  <c r="G510" i="3"/>
  <c r="G508" i="3"/>
  <c r="G504" i="3"/>
  <c r="G500" i="3"/>
  <c r="G496" i="3"/>
  <c r="G584" i="3"/>
  <c r="G580" i="3"/>
  <c r="G576" i="3"/>
  <c r="G572" i="3"/>
  <c r="G564" i="3"/>
  <c r="G560" i="3"/>
  <c r="G554" i="3"/>
  <c r="G550" i="3"/>
  <c r="BL584" i="3"/>
  <c r="BL580" i="3"/>
  <c r="BL576" i="3"/>
  <c r="BL568" i="3"/>
  <c r="BL564" i="3"/>
  <c r="BL560" i="3"/>
  <c r="BL546" i="3"/>
  <c r="BL542" i="3"/>
  <c r="BL538" i="3"/>
  <c r="BL530" i="3"/>
  <c r="BL526" i="3"/>
  <c r="BL522" i="3"/>
  <c r="AZ522" i="3" s="1"/>
  <c r="BL512" i="3"/>
  <c r="BL506" i="3"/>
  <c r="BL502" i="3"/>
  <c r="BL494" i="3"/>
  <c r="AZ494" i="3" s="1"/>
  <c r="BL582" i="3"/>
  <c r="BL578" i="3"/>
  <c r="BL570" i="3"/>
  <c r="BL566" i="3"/>
  <c r="BL562" i="3"/>
  <c r="BL552" i="3"/>
  <c r="BL544" i="3"/>
  <c r="BL540" i="3"/>
  <c r="AZ540" i="3" s="1"/>
  <c r="G533" i="3"/>
  <c r="BL532" i="3"/>
  <c r="G529" i="3"/>
  <c r="G525" i="3"/>
  <c r="BL524" i="3"/>
  <c r="BL518" i="3"/>
  <c r="BL510" i="3"/>
  <c r="BL504" i="3"/>
  <c r="AZ504" i="3" s="1"/>
  <c r="BL500" i="3"/>
  <c r="G493" i="3"/>
  <c r="BA584" i="3"/>
  <c r="AZ584" i="3" s="1"/>
  <c r="BA582" i="3"/>
  <c r="AZ582" i="3" s="1"/>
  <c r="BA580" i="3"/>
  <c r="BA578" i="3"/>
  <c r="BA576" i="3"/>
  <c r="AZ576" i="3" s="1"/>
  <c r="BA574" i="3"/>
  <c r="BA572" i="3"/>
  <c r="BA570" i="3"/>
  <c r="BA568" i="3"/>
  <c r="BA566" i="3"/>
  <c r="AZ566" i="3" s="1"/>
  <c r="BA564" i="3"/>
  <c r="AZ564" i="3" s="1"/>
  <c r="BA562" i="3"/>
  <c r="BA560" i="3"/>
  <c r="AZ560" i="3" s="1"/>
  <c r="BA558" i="3"/>
  <c r="AZ558" i="3" s="1"/>
  <c r="BA556" i="3"/>
  <c r="BA554" i="3"/>
  <c r="BA552" i="3"/>
  <c r="AZ552" i="3"/>
  <c r="BA548" i="3"/>
  <c r="BA546" i="3"/>
  <c r="BA544" i="3"/>
  <c r="AZ544" i="3"/>
  <c r="BA542" i="3"/>
  <c r="AZ542" i="3" s="1"/>
  <c r="BA540" i="3"/>
  <c r="BA538" i="3"/>
  <c r="AZ538" i="3"/>
  <c r="BA536" i="3"/>
  <c r="BA534" i="3"/>
  <c r="BA532" i="3"/>
  <c r="AZ532" i="3"/>
  <c r="BA530" i="3"/>
  <c r="BA528" i="3"/>
  <c r="BA526" i="3"/>
  <c r="BA524" i="3"/>
  <c r="AZ524" i="3" s="1"/>
  <c r="BA522" i="3"/>
  <c r="BA520" i="3"/>
  <c r="AZ520" i="3" s="1"/>
  <c r="BA518" i="3"/>
  <c r="BA516" i="3"/>
  <c r="BA514" i="3"/>
  <c r="BA512" i="3"/>
  <c r="AZ512" i="3" s="1"/>
  <c r="BA510" i="3"/>
  <c r="AZ510" i="3"/>
  <c r="BA508" i="3"/>
  <c r="AZ508" i="3" s="1"/>
  <c r="BA506" i="3"/>
  <c r="BA504" i="3"/>
  <c r="BA502" i="3"/>
  <c r="BA500" i="3"/>
  <c r="BA498" i="3"/>
  <c r="BA496" i="3"/>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AC5"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AC13" i="40"/>
  <c r="AB33" i="40"/>
  <c r="AC43" i="39"/>
  <c r="AB44" i="39"/>
  <c r="G100" i="39"/>
  <c r="H37" i="39"/>
  <c r="AB37" i="39" s="1"/>
  <c r="AC37" i="39"/>
  <c r="W37" i="39"/>
  <c r="H25" i="39"/>
  <c r="AB25" i="39" s="1"/>
  <c r="J25" i="39"/>
  <c r="AC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44" i="3"/>
  <c r="AZ168" i="3"/>
  <c r="AZ105"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37"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506" i="3"/>
  <c r="G548" i="3"/>
  <c r="G538" i="3"/>
  <c r="G520" i="3"/>
  <c r="G502" i="3"/>
  <c r="BS5" i="3"/>
  <c r="BP5" i="3"/>
  <c r="BN5" i="3"/>
  <c r="G29" i="6" s="1"/>
  <c r="BK5" i="3"/>
  <c r="BI5" i="3"/>
  <c r="BG5" i="3"/>
  <c r="BE5" i="3"/>
  <c r="BC5" i="3"/>
  <c r="G17" i="3"/>
  <c r="BA17" i="3"/>
  <c r="BT5" i="3"/>
  <c r="AZ350" i="3"/>
  <c r="AZ356" i="3"/>
  <c r="BA15" i="3"/>
  <c r="BB5" i="3"/>
  <c r="BR5" i="3"/>
  <c r="AZ392" i="3"/>
  <c r="AZ499" i="3"/>
  <c r="G509" i="3"/>
  <c r="BL493" i="3"/>
  <c r="AZ493" i="3" s="1"/>
  <c r="U36" i="40"/>
  <c r="F83" i="43"/>
  <c r="H85" i="43" s="1"/>
  <c r="F50" i="43"/>
  <c r="H54" i="43" s="1"/>
  <c r="F72" i="43"/>
  <c r="H75" i="43" s="1"/>
  <c r="U43" i="21"/>
  <c r="U35" i="21"/>
  <c r="AC35" i="2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AB23"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AZ110"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Z465" i="3"/>
  <c r="AA32" i="36"/>
  <c r="S32" i="36"/>
  <c r="BL14" i="3"/>
  <c r="AC13" i="34"/>
  <c r="AA47" i="34"/>
  <c r="W28" i="37"/>
  <c r="F12" i="33"/>
  <c r="H12" i="39"/>
  <c r="U12" i="39" s="1"/>
  <c r="F39" i="40"/>
  <c r="BA14" i="3"/>
  <c r="AZ254" i="3"/>
  <c r="AZ297" i="3"/>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U37" i="39"/>
  <c r="S37" i="39"/>
  <c r="F32" i="39"/>
  <c r="AA32" i="39" s="1"/>
  <c r="F106" i="39"/>
  <c r="G106" i="39" s="1"/>
  <c r="H106" i="39" s="1"/>
  <c r="I106" i="39" s="1"/>
  <c r="J106" i="39" s="1"/>
  <c r="K106" i="39" s="1"/>
  <c r="L106" i="39" s="1"/>
  <c r="M106" i="39" s="1"/>
  <c r="U25" i="39"/>
  <c r="J21" i="39"/>
  <c r="W21" i="39" s="1"/>
  <c r="F21" i="39"/>
  <c r="AA21" i="39" s="1"/>
  <c r="H21" i="39"/>
  <c r="AB21" i="39" s="1"/>
  <c r="W19" i="39"/>
  <c r="U19" i="39"/>
  <c r="S17" i="39"/>
  <c r="S9" i="39"/>
  <c r="U13" i="36"/>
  <c r="U26" i="36"/>
  <c r="S33" i="36"/>
  <c r="AA26" i="36"/>
  <c r="AA34" i="36"/>
  <c r="AC26" i="36"/>
  <c r="W14" i="36"/>
  <c r="AB14" i="36"/>
  <c r="U22" i="36"/>
  <c r="S16" i="36"/>
  <c r="AA25" i="36"/>
  <c r="S24" i="36"/>
  <c r="U24" i="36"/>
  <c r="AB20" i="36"/>
  <c r="U16" i="36"/>
  <c r="S14" i="36"/>
  <c r="S23" i="35"/>
  <c r="W24" i="35"/>
  <c r="AB27" i="35"/>
  <c r="S32" i="35"/>
  <c r="AA36" i="35"/>
  <c r="U22" i="35"/>
  <c r="AA11" i="35"/>
  <c r="F9" i="35"/>
  <c r="S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E5" i="6"/>
  <c r="E19" i="69"/>
  <c r="E1" i="73"/>
  <c r="G22" i="69"/>
  <c r="G22" i="68"/>
  <c r="G26" i="12"/>
  <c r="G22" i="11"/>
  <c r="C6" i="43"/>
  <c r="B19" i="53"/>
  <c r="B37" i="72" s="1"/>
  <c r="C7" i="39"/>
  <c r="C67" i="39" s="1"/>
  <c r="C7" i="35"/>
  <c r="C48" i="35" s="1"/>
  <c r="D48" i="35" s="1"/>
  <c r="C7" i="33"/>
  <c r="C7" i="21"/>
  <c r="C7" i="40"/>
  <c r="C63" i="40" s="1"/>
  <c r="M47" i="9"/>
  <c r="G23" i="43"/>
  <c r="C23" i="43" s="1"/>
  <c r="A4" i="51"/>
  <c r="B6" i="72" s="1"/>
  <c r="B6" i="1"/>
  <c r="E6" i="1" s="1"/>
  <c r="K11" i="1"/>
  <c r="M11" i="1" s="1"/>
  <c r="O11" i="1" s="1"/>
  <c r="B9" i="1"/>
  <c r="E9"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1" i="39"/>
  <c r="W25" i="39"/>
  <c r="AA14" i="39"/>
  <c r="U43" i="39"/>
  <c r="AB43" i="39"/>
  <c r="W17" i="39"/>
  <c r="AC17" i="39"/>
  <c r="S8" i="39"/>
  <c r="S20" i="36"/>
  <c r="AC25" i="36"/>
  <c r="U32" i="36"/>
  <c r="W29" i="36"/>
  <c r="AC20" i="36"/>
  <c r="U25" i="36"/>
  <c r="AB28" i="36"/>
  <c r="AA13" i="36"/>
  <c r="W9" i="36"/>
  <c r="W22" i="36"/>
  <c r="S24" i="35"/>
  <c r="U24" i="35"/>
  <c r="S35"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U39" i="33"/>
  <c r="U38" i="33"/>
  <c r="S33" i="33"/>
  <c r="AB34" i="33"/>
  <c r="U44" i="33"/>
  <c r="AB44"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W17" i="21" s="1"/>
  <c r="AC17" i="21"/>
  <c r="AC19" i="21"/>
  <c r="W39" i="21"/>
  <c r="AC14" i="21"/>
  <c r="W30" i="21"/>
  <c r="S46" i="21"/>
  <c r="H45" i="21"/>
  <c r="U45" i="21" s="1"/>
  <c r="F29" i="21"/>
  <c r="AA29" i="21" s="1"/>
  <c r="F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23" i="40"/>
  <c r="C21" i="40"/>
  <c r="U30" i="40"/>
  <c r="B56" i="43"/>
  <c r="B67" i="43"/>
  <c r="B51" i="43"/>
  <c r="B54" i="43"/>
  <c r="B58" i="43"/>
  <c r="B62" i="43"/>
  <c r="B65" i="43"/>
  <c r="B69" i="43"/>
  <c r="E4" i="4"/>
  <c r="B5" i="62" s="1"/>
  <c r="B73" i="72" s="1"/>
  <c r="C4" i="4"/>
  <c r="AA39" i="40"/>
  <c r="S39" i="40"/>
  <c r="S12" i="33"/>
  <c r="AA12" i="33"/>
  <c r="J32" i="39"/>
  <c r="AC32" i="39" s="1"/>
  <c r="H32" i="39"/>
  <c r="AB32" i="39" s="1"/>
  <c r="S32" i="39"/>
  <c r="AC17" i="37"/>
  <c r="J19" i="37"/>
  <c r="W19" i="37" s="1"/>
  <c r="G75" i="37"/>
  <c r="AA19" i="37"/>
  <c r="AA23" i="37"/>
  <c r="J23" i="37"/>
  <c r="W23" i="37" s="1"/>
  <c r="G79" i="37"/>
  <c r="J10" i="37"/>
  <c r="W10" i="37" s="1"/>
  <c r="G63" i="37"/>
  <c r="H63" i="37" s="1"/>
  <c r="I63" i="37" s="1"/>
  <c r="H11" i="37"/>
  <c r="AB11" i="37" s="1"/>
  <c r="G70" i="34"/>
  <c r="H70" i="34" s="1"/>
  <c r="I70" i="34" s="1"/>
  <c r="J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AB23" i="21" s="1"/>
  <c r="D6" i="52"/>
  <c r="AP7" i="1"/>
  <c r="AB45" i="21"/>
  <c r="AB9" i="21"/>
  <c r="U9" i="21"/>
  <c r="AA32" i="21"/>
  <c r="S32" i="21"/>
  <c r="AC9" i="21"/>
  <c r="AB32" i="21"/>
  <c r="U32" i="21"/>
  <c r="J63" i="37"/>
  <c r="K63" i="37" s="1"/>
  <c r="L63" i="37" s="1"/>
  <c r="M63" i="37" s="1"/>
  <c r="J11" i="37"/>
  <c r="AC11" i="37" s="1"/>
  <c r="K70" i="34"/>
  <c r="L70" i="34" s="1"/>
  <c r="M70" i="34" s="1"/>
  <c r="J11" i="34"/>
  <c r="W11" i="34" s="1"/>
  <c r="AB36" i="33"/>
  <c r="AC27" i="33"/>
  <c r="W25" i="33"/>
  <c r="AC25" i="33"/>
  <c r="AB19" i="33"/>
  <c r="U19"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F40" i="15"/>
  <c r="B7" i="76"/>
  <c r="F3" i="73"/>
  <c r="B11" i="76"/>
  <c r="B12" i="76"/>
  <c r="F36" i="15"/>
  <c r="B10" i="76"/>
  <c r="F7" i="73"/>
  <c r="M24" i="15"/>
  <c r="M26" i="15"/>
  <c r="M8" i="15"/>
  <c r="F43" i="15"/>
  <c r="F20" i="31"/>
  <c r="E7" i="76"/>
  <c r="F8" i="15"/>
  <c r="E12" i="76"/>
  <c r="C76" i="15"/>
  <c r="F26" i="15"/>
  <c r="F4" i="73"/>
  <c r="F7" i="15"/>
  <c r="B13" i="76"/>
  <c r="E8" i="76"/>
  <c r="M9" i="15"/>
  <c r="E10" i="76"/>
  <c r="E9" i="76"/>
  <c r="F6" i="73"/>
  <c r="M23" i="15"/>
  <c r="J15" i="15"/>
  <c r="E11" i="76"/>
  <c r="M28" i="15"/>
  <c r="F38" i="15"/>
  <c r="M22" i="15"/>
  <c r="B9" i="76"/>
  <c r="F9" i="15"/>
  <c r="F16" i="15"/>
  <c r="F37" i="15"/>
  <c r="L47" i="15"/>
  <c r="F6" i="15"/>
  <c r="F13" i="15"/>
  <c r="D6" i="73"/>
  <c r="E2" i="68"/>
  <c r="M6" i="15"/>
  <c r="F42" i="15"/>
  <c r="AO13" i="1"/>
  <c r="E2" i="69"/>
  <c r="M29" i="15"/>
  <c r="B8" i="76"/>
  <c r="E13" i="76"/>
  <c r="AB16" i="35" l="1"/>
  <c r="U32" i="35"/>
  <c r="U36" i="35"/>
  <c r="U34" i="35"/>
  <c r="F13" i="35"/>
  <c r="AB13" i="35"/>
  <c r="U28" i="35"/>
  <c r="H87" i="35"/>
  <c r="I87" i="35" s="1"/>
  <c r="J87" i="35" s="1"/>
  <c r="K87" i="35" s="1"/>
  <c r="L87" i="35" s="1"/>
  <c r="M87" i="35" s="1"/>
  <c r="F29" i="35"/>
  <c r="S29" i="35" s="1"/>
  <c r="J29" i="35"/>
  <c r="H29" i="35"/>
  <c r="F70" i="35"/>
  <c r="G70" i="35" s="1"/>
  <c r="J20" i="35"/>
  <c r="F20" i="35"/>
  <c r="S20" i="35" s="1"/>
  <c r="H20" i="35"/>
  <c r="F64" i="35"/>
  <c r="G64" i="35" s="1"/>
  <c r="F14" i="35"/>
  <c r="AA14" i="35" s="1"/>
  <c r="H14" i="35"/>
  <c r="U14" i="35" s="1"/>
  <c r="J14" i="35"/>
  <c r="AC18" i="35"/>
  <c r="W28" i="35"/>
  <c r="S28" i="35"/>
  <c r="AC30" i="35"/>
  <c r="S31" i="35"/>
  <c r="U31" i="35"/>
  <c r="AA18" i="35"/>
  <c r="AA16" i="35"/>
  <c r="W16" i="35"/>
  <c r="AC9" i="35"/>
  <c r="W9" i="35"/>
  <c r="H9" i="35"/>
  <c r="U9" i="35" s="1"/>
  <c r="S33" i="35"/>
  <c r="W35" i="35"/>
  <c r="AC11" i="35"/>
  <c r="H12" i="35"/>
  <c r="J12" i="35"/>
  <c r="S25" i="35"/>
  <c r="AA25" i="35"/>
  <c r="U25" i="35"/>
  <c r="S22" i="35"/>
  <c r="J25" i="35"/>
  <c r="U14" i="39"/>
  <c r="W40" i="39"/>
  <c r="AA39" i="39"/>
  <c r="W23" i="39"/>
  <c r="S21" i="39"/>
  <c r="AA12" i="39"/>
  <c r="AA11" i="39"/>
  <c r="U38" i="39"/>
  <c r="S38" i="39"/>
  <c r="AC31" i="39"/>
  <c r="W12" i="39"/>
  <c r="W29" i="39"/>
  <c r="W32" i="39"/>
  <c r="W27" i="39"/>
  <c r="U42" i="39"/>
  <c r="AB8" i="39"/>
  <c r="AB39" i="39"/>
  <c r="U11" i="39"/>
  <c r="U31" i="39"/>
  <c r="U32" i="39"/>
  <c r="AB27" i="39"/>
  <c r="U17" i="39"/>
  <c r="S27" i="39"/>
  <c r="S15" i="39"/>
  <c r="S43" i="39"/>
  <c r="S31" i="39"/>
  <c r="S19" i="39"/>
  <c r="AB45" i="39"/>
  <c r="S44" i="39"/>
  <c r="F45" i="39"/>
  <c r="J45" i="39"/>
  <c r="W45" i="39" s="1"/>
  <c r="W13" i="39"/>
  <c r="AC13" i="39"/>
  <c r="AB12" i="39"/>
  <c r="H13" i="39"/>
  <c r="S13" i="39"/>
  <c r="AA35" i="39"/>
  <c r="S35" i="39"/>
  <c r="W34" i="39"/>
  <c r="H35" i="39"/>
  <c r="D93" i="9"/>
  <c r="B41" i="1"/>
  <c r="C21" i="68"/>
  <c r="E19" i="11"/>
  <c r="D22" i="15"/>
  <c r="D23" i="15"/>
  <c r="E32" i="6"/>
  <c r="L21" i="6" s="1"/>
  <c r="G1" i="67"/>
  <c r="K1" i="12"/>
  <c r="G1" i="69"/>
  <c r="K7" i="1"/>
  <c r="M7" i="1" s="1"/>
  <c r="O7" i="1" s="1"/>
  <c r="P7" i="1" s="1"/>
  <c r="L20" i="6"/>
  <c r="G1" i="68"/>
  <c r="F3" i="35"/>
  <c r="H5" i="3"/>
  <c r="G13" i="3"/>
  <c r="C17" i="40"/>
  <c r="B77" i="43"/>
  <c r="C25" i="39"/>
  <c r="B79" i="43"/>
  <c r="C29" i="39"/>
  <c r="B57" i="43"/>
  <c r="AA13" i="21"/>
  <c r="S13" i="21"/>
  <c r="AB33" i="34"/>
  <c r="U33" i="34"/>
  <c r="AA28" i="33"/>
  <c r="S28" i="33"/>
  <c r="AA20" i="35"/>
  <c r="AC23" i="21"/>
  <c r="AA25" i="33"/>
  <c r="S17" i="37"/>
  <c r="U21" i="39"/>
  <c r="AA43" i="34"/>
  <c r="S43" i="34"/>
  <c r="S35" i="33"/>
  <c r="AA35" i="33"/>
  <c r="AZ496" i="3"/>
  <c r="AB30" i="33"/>
  <c r="U30" i="33"/>
  <c r="AA46" i="33"/>
  <c r="S46" i="33"/>
  <c r="U23" i="21"/>
  <c r="AC23" i="37"/>
  <c r="S23" i="39"/>
  <c r="AA23" i="39"/>
  <c r="AB35" i="37"/>
  <c r="AC39" i="34"/>
  <c r="S32" i="37"/>
  <c r="AA22" i="36"/>
  <c r="AA34" i="33"/>
  <c r="AA12" i="40"/>
  <c r="AZ387" i="3"/>
  <c r="AZ362" i="3"/>
  <c r="AZ338" i="3"/>
  <c r="AZ390" i="3"/>
  <c r="AZ371" i="3"/>
  <c r="AZ351" i="3"/>
  <c r="AZ336" i="3"/>
  <c r="AZ305" i="3"/>
  <c r="AZ360" i="3"/>
  <c r="G521" i="3"/>
  <c r="AZ539" i="3"/>
  <c r="AZ529" i="3"/>
  <c r="AZ537" i="3"/>
  <c r="AZ518" i="3"/>
  <c r="AZ526" i="3"/>
  <c r="AZ546" i="3"/>
  <c r="AZ580" i="3"/>
  <c r="AC28" i="21"/>
  <c r="AA44" i="33"/>
  <c r="AA14" i="40"/>
  <c r="J13" i="35"/>
  <c r="J45" i="34"/>
  <c r="F29" i="34"/>
  <c r="J46" i="33"/>
  <c r="AA11" i="36"/>
  <c r="S11" i="36"/>
  <c r="F28" i="34"/>
  <c r="J28" i="34"/>
  <c r="W31" i="35"/>
  <c r="AC31" i="35"/>
  <c r="BL574" i="3"/>
  <c r="AZ574" i="3" s="1"/>
  <c r="BL572" i="3"/>
  <c r="AZ572" i="3" s="1"/>
  <c r="G566" i="3"/>
  <c r="AZ480" i="3"/>
  <c r="AZ306" i="3"/>
  <c r="AZ513" i="3"/>
  <c r="AZ528" i="3"/>
  <c r="BA585" i="3"/>
  <c r="H28" i="33"/>
  <c r="J28" i="33"/>
  <c r="J12" i="33"/>
  <c r="H12" i="33"/>
  <c r="U12" i="33" s="1"/>
  <c r="AA27" i="35"/>
  <c r="S27" i="35"/>
  <c r="S38" i="34"/>
  <c r="AA38" i="34"/>
  <c r="AZ444" i="3"/>
  <c r="AB19" i="40"/>
  <c r="AZ357" i="3"/>
  <c r="AZ313" i="3"/>
  <c r="AZ124" i="3"/>
  <c r="AZ394" i="3"/>
  <c r="AZ531" i="3"/>
  <c r="AZ583" i="3"/>
  <c r="AZ568" i="3"/>
  <c r="AZ502" i="3"/>
  <c r="AB30" i="21"/>
  <c r="H29" i="34"/>
  <c r="H46" i="33"/>
  <c r="F30" i="33"/>
  <c r="H31" i="21"/>
  <c r="J31" i="21"/>
  <c r="H23" i="36"/>
  <c r="J23" i="36"/>
  <c r="AB9" i="39"/>
  <c r="U9" i="39"/>
  <c r="AA40" i="39"/>
  <c r="S40" i="39"/>
  <c r="AA34" i="40"/>
  <c r="S34" i="40"/>
  <c r="BL554" i="3"/>
  <c r="AZ554" i="3" s="1"/>
  <c r="BA551" i="3"/>
  <c r="AZ551" i="3" s="1"/>
  <c r="BA550" i="3"/>
  <c r="BL548" i="3"/>
  <c r="AZ548" i="3" s="1"/>
  <c r="BL536" i="3"/>
  <c r="AZ536" i="3" s="1"/>
  <c r="BL534" i="3"/>
  <c r="AZ534" i="3" s="1"/>
  <c r="BL528" i="3"/>
  <c r="BL516" i="3"/>
  <c r="BL514" i="3"/>
  <c r="AZ514" i="3" s="1"/>
  <c r="BL498" i="3"/>
  <c r="AZ498" i="3" s="1"/>
  <c r="BL496" i="3"/>
  <c r="AZ14" i="3"/>
  <c r="AZ388" i="3"/>
  <c r="AZ334" i="3"/>
  <c r="AZ515" i="3"/>
  <c r="AZ523" i="3"/>
  <c r="AZ533" i="3"/>
  <c r="AZ547" i="3"/>
  <c r="AZ561" i="3"/>
  <c r="AZ569" i="3"/>
  <c r="AZ571" i="3"/>
  <c r="AZ579" i="3"/>
  <c r="AZ516" i="3"/>
  <c r="AZ570" i="3"/>
  <c r="H35" i="35"/>
  <c r="U35" i="35" s="1"/>
  <c r="U45" i="33"/>
  <c r="AB45" i="33"/>
  <c r="G586" i="3"/>
  <c r="AC33" i="33"/>
  <c r="W33" i="33"/>
  <c r="AC40" i="33"/>
  <c r="W40" i="33"/>
  <c r="U12" i="36"/>
  <c r="AB12" i="36"/>
  <c r="F23" i="36"/>
  <c r="J39" i="40"/>
  <c r="H39" i="40"/>
  <c r="BL556" i="3"/>
  <c r="AZ556" i="3" s="1"/>
  <c r="AZ407" i="3"/>
  <c r="AZ451" i="3"/>
  <c r="BL585" i="3"/>
  <c r="B75" i="4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B17" i="34"/>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BA459" i="3"/>
  <c r="AZ459" i="3" s="1"/>
  <c r="BA460" i="3"/>
  <c r="AZ460" i="3" s="1"/>
  <c r="BA461" i="3"/>
  <c r="AZ461" i="3" s="1"/>
  <c r="BL464" i="3"/>
  <c r="BL466" i="3"/>
  <c r="AZ466" i="3" s="1"/>
  <c r="G468" i="3"/>
  <c r="BL476" i="3"/>
  <c r="AZ476" i="3" s="1"/>
  <c r="BL477" i="3"/>
  <c r="BL478" i="3"/>
  <c r="BL480" i="3"/>
  <c r="BA483" i="3"/>
  <c r="BL483" i="3"/>
  <c r="AZ483" i="3" s="1"/>
  <c r="BA486" i="3"/>
  <c r="BL489" i="3"/>
  <c r="BL491" i="3"/>
  <c r="AZ491" i="3" s="1"/>
  <c r="BL492" i="3"/>
  <c r="G307" i="3"/>
  <c r="BA315" i="3"/>
  <c r="AZ315" i="3" s="1"/>
  <c r="BA333" i="3"/>
  <c r="BL346" i="3"/>
  <c r="AZ346" i="3" s="1"/>
  <c r="G349" i="3"/>
  <c r="AZ301" i="3"/>
  <c r="BL587" i="3"/>
  <c r="AZ587" i="3" s="1"/>
  <c r="BL586" i="3"/>
  <c r="AZ586" i="3" s="1"/>
  <c r="J9" i="34"/>
  <c r="H12" i="34"/>
  <c r="G574"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AZ458" i="3"/>
  <c r="AZ462" i="3"/>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BA129" i="3"/>
  <c r="BL133" i="3"/>
  <c r="AZ133" i="3" s="1"/>
  <c r="BL139" i="3"/>
  <c r="AZ139" i="3" s="1"/>
  <c r="G140" i="3"/>
  <c r="BL141" i="3"/>
  <c r="BL143" i="3"/>
  <c r="AZ143" i="3" s="1"/>
  <c r="G146" i="3"/>
  <c r="BA153" i="3"/>
  <c r="BL161" i="3"/>
  <c r="G167" i="3"/>
  <c r="BA189" i="3"/>
  <c r="BA384" i="3"/>
  <c r="AZ384" i="3" s="1"/>
  <c r="BA395" i="3"/>
  <c r="AZ395" i="3" s="1"/>
  <c r="BA208" i="3"/>
  <c r="AZ208" i="3" s="1"/>
  <c r="BA211" i="3"/>
  <c r="AZ211" i="3" s="1"/>
  <c r="BL213" i="3"/>
  <c r="BL215" i="3"/>
  <c r="BA222" i="3"/>
  <c r="AZ222" i="3" s="1"/>
  <c r="BA224" i="3"/>
  <c r="AZ224" i="3" s="1"/>
  <c r="BA226"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BL292" i="3"/>
  <c r="BA294" i="3"/>
  <c r="AZ294" i="3" s="1"/>
  <c r="BL295" i="3"/>
  <c r="BA298" i="3"/>
  <c r="AZ298" i="3" s="1"/>
  <c r="BL301" i="3"/>
  <c r="BL302" i="3"/>
  <c r="BA114" i="3"/>
  <c r="BL123" i="3"/>
  <c r="AZ123" i="3" s="1"/>
  <c r="BA128" i="3"/>
  <c r="AZ128" i="3" s="1"/>
  <c r="BL134" i="3"/>
  <c r="BL137" i="3"/>
  <c r="G143" i="3"/>
  <c r="BA146" i="3"/>
  <c r="BL154" i="3"/>
  <c r="G156" i="3"/>
  <c r="BL157" i="3"/>
  <c r="AZ157" i="3" s="1"/>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BL229" i="3"/>
  <c r="BL231" i="3"/>
  <c r="G233" i="3"/>
  <c r="BL233" i="3"/>
  <c r="AZ233" i="3" s="1"/>
  <c r="G235" i="3"/>
  <c r="BL235" i="3"/>
  <c r="AZ235" i="3" s="1"/>
  <c r="BL236" i="3"/>
  <c r="G237" i="3"/>
  <c r="BL238"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L186" i="3"/>
  <c r="BA239" i="3"/>
  <c r="AZ239" i="3" s="1"/>
  <c r="BL239" i="3"/>
  <c r="BA241" i="3"/>
  <c r="BL241" i="3"/>
  <c r="BA244" i="3"/>
  <c r="AZ244" i="3" s="1"/>
  <c r="BL244" i="3"/>
  <c r="AZ270" i="3"/>
  <c r="AZ284" i="3"/>
  <c r="AZ302" i="3"/>
  <c r="BA130" i="3"/>
  <c r="AZ130" i="3" s="1"/>
  <c r="BL130" i="3"/>
  <c r="BL146" i="3"/>
  <c r="BA150" i="3"/>
  <c r="AZ150" i="3" s="1"/>
  <c r="G163" i="3"/>
  <c r="BL169" i="3"/>
  <c r="AZ201" i="3"/>
  <c r="AZ52" i="3"/>
  <c r="AZ65" i="3"/>
  <c r="AZ100" i="3"/>
  <c r="C86" i="71"/>
  <c r="D86" i="71" s="1"/>
  <c r="D87" i="71"/>
  <c r="C47" i="71"/>
  <c r="D47" i="71" s="1"/>
  <c r="D46" i="71"/>
  <c r="C67" i="71"/>
  <c r="T68" i="71"/>
  <c r="O68" i="71"/>
  <c r="T76" i="71"/>
  <c r="D76" i="71"/>
  <c r="C75" i="71"/>
  <c r="Y27" i="71"/>
  <c r="Z27" i="71" s="1"/>
  <c r="Y26" i="71"/>
  <c r="Z26" i="71" s="1"/>
  <c r="AA3"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G19" i="3"/>
  <c r="BL19" i="3"/>
  <c r="BA20" i="3"/>
  <c r="AZ20" i="3" s="1"/>
  <c r="BL25" i="3"/>
  <c r="AZ25" i="3" s="1"/>
  <c r="BL27" i="3"/>
  <c r="AZ27" i="3" s="1"/>
  <c r="BA28" i="3"/>
  <c r="AZ28" i="3" s="1"/>
  <c r="BA31" i="3"/>
  <c r="BA32" i="3"/>
  <c r="G38" i="3"/>
  <c r="BA38" i="3"/>
  <c r="AZ38" i="3" s="1"/>
  <c r="BA41" i="3"/>
  <c r="BA42" i="3"/>
  <c r="G47" i="3"/>
  <c r="BL48" i="3"/>
  <c r="BL54" i="3"/>
  <c r="BL55" i="3"/>
  <c r="AZ55" i="3" s="1"/>
  <c r="G58" i="3"/>
  <c r="BA59" i="3"/>
  <c r="BL61" i="3"/>
  <c r="G64" i="3"/>
  <c r="BA64" i="3"/>
  <c r="BA68" i="3"/>
  <c r="BL74" i="3"/>
  <c r="BL75" i="3"/>
  <c r="BA80" i="3"/>
  <c r="BL84" i="3"/>
  <c r="BA90" i="3"/>
  <c r="BA97" i="3"/>
  <c r="AZ97" i="3" s="1"/>
  <c r="BL101" i="3"/>
  <c r="BL102" i="3"/>
  <c r="AZ102" i="3" s="1"/>
  <c r="G105" i="3"/>
  <c r="BL106" i="3"/>
  <c r="BA108" i="3"/>
  <c r="W21" i="21"/>
  <c r="C32" i="71"/>
  <c r="AA28" i="71"/>
  <c r="AB25" i="71"/>
  <c r="AB28" i="71"/>
  <c r="AB26" i="71"/>
  <c r="AA35" i="71"/>
  <c r="T28" i="71"/>
  <c r="D28" i="71"/>
  <c r="U28" i="71" s="1"/>
  <c r="C27" i="71"/>
  <c r="X33" i="71"/>
  <c r="X31" i="71"/>
  <c r="X34" i="71"/>
  <c r="X36" i="71"/>
  <c r="X35" i="71"/>
  <c r="AB37" i="71"/>
  <c r="AB35" i="71"/>
  <c r="F38" i="71"/>
  <c r="F39" i="71" s="1"/>
  <c r="F40" i="71" s="1"/>
  <c r="V40" i="71" s="1"/>
  <c r="C55" i="71"/>
  <c r="D54" i="71"/>
  <c r="C64" i="71"/>
  <c r="D63" i="71"/>
  <c r="C23" i="71"/>
  <c r="B22" i="71"/>
  <c r="B21" i="71" s="1"/>
  <c r="B20" i="71" s="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5" i="3"/>
  <c r="BL56" i="3"/>
  <c r="BA58" i="3"/>
  <c r="BL59" i="3"/>
  <c r="BL60" i="3"/>
  <c r="BA61" i="3"/>
  <c r="AZ61" i="3" s="1"/>
  <c r="BL69" i="3"/>
  <c r="AZ69" i="3" s="1"/>
  <c r="G70" i="3"/>
  <c r="BL70" i="3"/>
  <c r="AZ70" i="3" s="1"/>
  <c r="BL71" i="3"/>
  <c r="BL72" i="3"/>
  <c r="AZ72" i="3" s="1"/>
  <c r="G74" i="3"/>
  <c r="BA75" i="3"/>
  <c r="BL86" i="3"/>
  <c r="AZ86" i="3" s="1"/>
  <c r="G87" i="3"/>
  <c r="BA91" i="3"/>
  <c r="AZ91" i="3" s="1"/>
  <c r="BA95" i="3"/>
  <c r="BA111" i="3"/>
  <c r="AB21" i="37"/>
  <c r="U21" i="37"/>
  <c r="D43" i="71"/>
  <c r="AB27"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BL203" i="3"/>
  <c r="AZ203" i="3" s="1"/>
  <c r="BA204" i="3"/>
  <c r="AZ204" i="3" s="1"/>
  <c r="BA18" i="3"/>
  <c r="G21" i="3"/>
  <c r="BL21" i="3"/>
  <c r="AZ21" i="3" s="1"/>
  <c r="G29" i="3"/>
  <c r="BL29" i="3"/>
  <c r="AZ29" i="3" s="1"/>
  <c r="BA37" i="3"/>
  <c r="G39" i="3"/>
  <c r="BL39" i="3"/>
  <c r="AZ39" i="3" s="1"/>
  <c r="BA45" i="3"/>
  <c r="AZ45" i="3" s="1"/>
  <c r="BA46" i="3"/>
  <c r="BL49" i="3"/>
  <c r="BL50" i="3"/>
  <c r="AZ50" i="3" s="1"/>
  <c r="BL64" i="3"/>
  <c r="G65" i="3"/>
  <c r="BL65" i="3"/>
  <c r="BL66" i="3"/>
  <c r="BL67" i="3"/>
  <c r="AZ67" i="3" s="1"/>
  <c r="G69" i="3"/>
  <c r="BL73" i="3"/>
  <c r="BA74" i="3"/>
  <c r="AZ74" i="3" s="1"/>
  <c r="BL79" i="3"/>
  <c r="BL81" i="3"/>
  <c r="BA82" i="3"/>
  <c r="AZ82" i="3" s="1"/>
  <c r="BL83" i="3"/>
  <c r="G86" i="3"/>
  <c r="BA87" i="3"/>
  <c r="BL93" i="3"/>
  <c r="BL94" i="3"/>
  <c r="AZ94" i="3" s="1"/>
  <c r="BA109" i="3"/>
  <c r="F40" i="69"/>
  <c r="C40" i="69"/>
  <c r="U21" i="33"/>
  <c r="AB21" i="33"/>
  <c r="T44" i="71"/>
  <c r="P65" i="71"/>
  <c r="P66" i="71"/>
  <c r="C51" i="71"/>
  <c r="E39" i="71"/>
  <c r="E40" i="71" s="1"/>
  <c r="U40" i="71" s="1"/>
  <c r="Y37" i="71"/>
  <c r="Z37" i="71" s="1"/>
  <c r="F66" i="71"/>
  <c r="Q67" i="71"/>
  <c r="X25" i="71"/>
  <c r="V24" i="71"/>
  <c r="E23" i="71"/>
  <c r="E22" i="71" s="1"/>
  <c r="E21" i="71" s="1"/>
  <c r="E20" i="71" s="1"/>
  <c r="G103" i="3"/>
  <c r="BA103" i="3"/>
  <c r="AZ103" i="3" s="1"/>
  <c r="BA104" i="3"/>
  <c r="BA106" i="3"/>
  <c r="BL108" i="3"/>
  <c r="BL111" i="3"/>
  <c r="U29" i="39"/>
  <c r="AA27" i="71"/>
  <c r="S28"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N59" i="15"/>
  <c r="M59" i="15"/>
  <c r="L59" i="15" s="1"/>
  <c r="F66" i="15"/>
  <c r="F64" i="15"/>
  <c r="C27" i="15"/>
  <c r="F65" i="15"/>
  <c r="B13" i="70"/>
  <c r="F68" i="15"/>
  <c r="C36" i="68"/>
  <c r="D9" i="69"/>
  <c r="C36" i="69"/>
  <c r="D9" i="68"/>
  <c r="M24" i="67"/>
  <c r="F13" i="67"/>
  <c r="C76" i="67"/>
  <c r="F37" i="67"/>
  <c r="D3" i="73"/>
  <c r="M8" i="67"/>
  <c r="L48" i="67"/>
  <c r="D5" i="73"/>
  <c r="M26" i="67"/>
  <c r="F43" i="67"/>
  <c r="L48" i="15"/>
  <c r="M28" i="67"/>
  <c r="J15" i="67"/>
  <c r="C16" i="15"/>
  <c r="M29" i="67"/>
  <c r="F8" i="67"/>
  <c r="L47" i="67"/>
  <c r="F40" i="67"/>
  <c r="F7" i="67"/>
  <c r="F9" i="67"/>
  <c r="M9" i="67"/>
  <c r="F26" i="67"/>
  <c r="F42" i="67"/>
  <c r="F38" i="67"/>
  <c r="F6" i="67"/>
  <c r="D4" i="73"/>
  <c r="M23" i="67"/>
  <c r="M22" i="67"/>
  <c r="F16" i="67"/>
  <c r="F36" i="67"/>
  <c r="M6" i="67"/>
  <c r="D7" i="73"/>
  <c r="AA29" i="35" l="1"/>
  <c r="W29" i="35"/>
  <c r="AC29" i="35"/>
  <c r="AB29" i="35"/>
  <c r="U29" i="35"/>
  <c r="U20" i="35"/>
  <c r="AB20" i="35"/>
  <c r="W20" i="35"/>
  <c r="AC20" i="35"/>
  <c r="S14" i="35"/>
  <c r="W14" i="35"/>
  <c r="AC14" i="35"/>
  <c r="AB14" i="35"/>
  <c r="AB9" i="35"/>
  <c r="W12" i="35"/>
  <c r="AC12" i="35"/>
  <c r="U12" i="35"/>
  <c r="AB12" i="35"/>
  <c r="W25" i="35"/>
  <c r="AC25" i="35"/>
  <c r="AA45" i="39"/>
  <c r="S45" i="39"/>
  <c r="U13" i="39"/>
  <c r="AB13" i="39"/>
  <c r="AB35" i="39"/>
  <c r="U35" i="39"/>
  <c r="F48" i="9"/>
  <c r="O52" i="9" s="1"/>
  <c r="F30" i="11"/>
  <c r="M18" i="67"/>
  <c r="M18" i="15"/>
  <c r="J18" i="15" s="1"/>
  <c r="F28" i="67"/>
  <c r="C28" i="67" s="1"/>
  <c r="F32" i="67"/>
  <c r="F60" i="67" s="1"/>
  <c r="F28" i="15"/>
  <c r="C28" i="15" s="1"/>
  <c r="F31" i="12"/>
  <c r="D68" i="9"/>
  <c r="F30" i="68"/>
  <c r="F32" i="15"/>
  <c r="F60" i="15" s="1"/>
  <c r="F30" i="69"/>
  <c r="F52" i="9"/>
  <c r="F54" i="9"/>
  <c r="I54" i="15"/>
  <c r="L58" i="15"/>
  <c r="Q60" i="15" s="1"/>
  <c r="J57" i="15"/>
  <c r="J55" i="15" s="1"/>
  <c r="J58" i="15" s="1"/>
  <c r="Q50" i="15" s="1"/>
  <c r="J53" i="15"/>
  <c r="L56" i="15" s="1"/>
  <c r="G9" i="1"/>
  <c r="F64" i="67"/>
  <c r="Q71" i="67"/>
  <c r="F50" i="67"/>
  <c r="M7" i="67"/>
  <c r="J6" i="67" s="1"/>
  <c r="J18" i="67" s="1"/>
  <c r="F71" i="67"/>
  <c r="F66" i="67"/>
  <c r="F51" i="67"/>
  <c r="F65" i="67"/>
  <c r="L56" i="67"/>
  <c r="J53" i="67"/>
  <c r="F1" i="67" s="1"/>
  <c r="I54" i="67"/>
  <c r="J57" i="67"/>
  <c r="J55" i="67" s="1"/>
  <c r="J58" i="67" s="1"/>
  <c r="Q50" i="67" s="1"/>
  <c r="C6" i="67"/>
  <c r="C32" i="67" s="1"/>
  <c r="L58" i="67"/>
  <c r="Q73" i="67" s="1"/>
  <c r="N59" i="67"/>
  <c r="M59" i="67"/>
  <c r="L59" i="67"/>
  <c r="Q74" i="67" s="1"/>
  <c r="F68" i="67"/>
  <c r="C27" i="67"/>
  <c r="H16" i="1"/>
  <c r="E26" i="43"/>
  <c r="N94" i="46"/>
  <c r="N370" i="46"/>
  <c r="K16" i="1"/>
  <c r="G26" i="43"/>
  <c r="E59" i="40"/>
  <c r="J26" i="43"/>
  <c r="P6" i="1"/>
  <c r="C13" i="12" s="1"/>
  <c r="F26" i="43"/>
  <c r="D26" i="43" s="1"/>
  <c r="C25" i="43" s="1"/>
  <c r="G5" i="3"/>
  <c r="B3" i="3" s="1"/>
  <c r="E258" i="3" s="1"/>
  <c r="C40" i="71"/>
  <c r="D39" i="71"/>
  <c r="AZ58" i="3"/>
  <c r="C22" i="71"/>
  <c r="D23" i="71"/>
  <c r="C56" i="71"/>
  <c r="D55" i="71"/>
  <c r="AA23" i="36"/>
  <c r="S23" i="36"/>
  <c r="AB23" i="36"/>
  <c r="U23" i="36"/>
  <c r="U46" i="33"/>
  <c r="AB46" i="33"/>
  <c r="U28" i="33"/>
  <c r="AB28" i="33"/>
  <c r="AC28" i="34"/>
  <c r="W28" i="34"/>
  <c r="AC46" i="33"/>
  <c r="W46" i="33"/>
  <c r="C70" i="71"/>
  <c r="D70" i="71" s="1"/>
  <c r="D71" i="71"/>
  <c r="AZ190" i="3"/>
  <c r="AZ111" i="3"/>
  <c r="C26" i="71"/>
  <c r="D26" i="71" s="1"/>
  <c r="D27" i="71"/>
  <c r="T32" i="71"/>
  <c r="D32" i="71"/>
  <c r="AZ41" i="3"/>
  <c r="AZ31" i="3"/>
  <c r="D75" i="71"/>
  <c r="C74" i="71"/>
  <c r="D74" i="71" s="1"/>
  <c r="AZ146" i="3"/>
  <c r="AZ126" i="3"/>
  <c r="AZ263" i="3"/>
  <c r="AZ368" i="3"/>
  <c r="AZ457" i="3"/>
  <c r="AZ414" i="3"/>
  <c r="AZ353" i="3"/>
  <c r="AC31" i="21"/>
  <c r="W31" i="21"/>
  <c r="AB29" i="34"/>
  <c r="U29" i="34"/>
  <c r="AZ585" i="3"/>
  <c r="AA28" i="34"/>
  <c r="S28" i="34"/>
  <c r="S29" i="34"/>
  <c r="AA29" i="34"/>
  <c r="D79" i="71"/>
  <c r="C78" i="71"/>
  <c r="D78" i="71" s="1"/>
  <c r="AZ75" i="3"/>
  <c r="AZ154" i="3"/>
  <c r="AZ137" i="3"/>
  <c r="AZ59" i="3"/>
  <c r="D67" i="71"/>
  <c r="C66" i="71"/>
  <c r="O67" i="71"/>
  <c r="AZ241" i="3"/>
  <c r="AZ229" i="3"/>
  <c r="AZ189" i="3"/>
  <c r="AZ271" i="3"/>
  <c r="AZ238" i="3"/>
  <c r="AB12" i="34"/>
  <c r="U12" i="34"/>
  <c r="U39" i="40"/>
  <c r="AB39" i="40"/>
  <c r="AZ550" i="3"/>
  <c r="AB31" i="21"/>
  <c r="U31" i="21"/>
  <c r="AC12" i="33"/>
  <c r="W12" i="33"/>
  <c r="W45" i="34"/>
  <c r="AC45" i="34"/>
  <c r="C52" i="71"/>
  <c r="D51" i="71"/>
  <c r="B19" i="71"/>
  <c r="B18" i="71" s="1"/>
  <c r="B17" i="71" s="1"/>
  <c r="B16" i="71" s="1"/>
  <c r="S20" i="71"/>
  <c r="AZ108" i="3"/>
  <c r="AZ64" i="3"/>
  <c r="AC9" i="34"/>
  <c r="W9" i="34"/>
  <c r="W39" i="40"/>
  <c r="AC39" i="40"/>
  <c r="AC23" i="36"/>
  <c r="W23" i="36"/>
  <c r="AA30" i="33"/>
  <c r="S30" i="33"/>
  <c r="W28" i="33"/>
  <c r="AC28" i="33"/>
  <c r="AC13" i="35"/>
  <c r="W13" i="35"/>
  <c r="G16" i="1"/>
  <c r="F10" i="39" s="1"/>
  <c r="AA10" i="39" s="1"/>
  <c r="J7" i="37"/>
  <c r="K1" i="73"/>
  <c r="E101" i="3"/>
  <c r="E259" i="3"/>
  <c r="E506" i="3"/>
  <c r="E429" i="3"/>
  <c r="E518" i="3"/>
  <c r="E336" i="3"/>
  <c r="E515" i="3"/>
  <c r="E186" i="3"/>
  <c r="E380" i="3"/>
  <c r="E568" i="3"/>
  <c r="E227" i="3"/>
  <c r="E531" i="3"/>
  <c r="AB6" i="3"/>
  <c r="E387"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H7" i="36"/>
  <c r="AB7" i="36" s="1"/>
  <c r="T36" i="36" s="1"/>
  <c r="G36" i="36" s="1"/>
  <c r="E142"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C49" i="15"/>
  <c r="M11" i="67"/>
  <c r="J10" i="67" s="1"/>
  <c r="F11" i="15"/>
  <c r="M11" i="15"/>
  <c r="J10" i="15" s="1"/>
  <c r="J5" i="15" s="1"/>
  <c r="J24" i="15" s="1"/>
  <c r="F11" i="67"/>
  <c r="C32" i="15"/>
  <c r="Q74" i="15"/>
  <c r="Q61" i="15"/>
  <c r="AE11" i="1"/>
  <c r="AE6" i="1"/>
  <c r="AE9" i="1"/>
  <c r="F27" i="68"/>
  <c r="AE8" i="1"/>
  <c r="AE12" i="1"/>
  <c r="AE10" i="1"/>
  <c r="G1" i="73"/>
  <c r="F41" i="67"/>
  <c r="C16" i="67"/>
  <c r="C49" i="67" l="1"/>
  <c r="Q60" i="67"/>
  <c r="Q73" i="15"/>
  <c r="F48" i="69"/>
  <c r="C30" i="69"/>
  <c r="C48" i="69"/>
  <c r="F48" i="68"/>
  <c r="C48" i="68"/>
  <c r="C30" i="68"/>
  <c r="C48" i="11"/>
  <c r="C30" i="11"/>
  <c r="Q52" i="67"/>
  <c r="Q61" i="67"/>
  <c r="Q52" i="15"/>
  <c r="F1" i="15"/>
  <c r="J5" i="67"/>
  <c r="J24" i="67" s="1"/>
  <c r="E385" i="3"/>
  <c r="E431" i="3"/>
  <c r="E587" i="3"/>
  <c r="E439" i="3"/>
  <c r="E279" i="3"/>
  <c r="E30" i="3"/>
  <c r="E92" i="3"/>
  <c r="E52" i="3"/>
  <c r="AI6" i="3"/>
  <c r="E572" i="3"/>
  <c r="E545" i="3"/>
  <c r="E555" i="3"/>
  <c r="E573" i="3"/>
  <c r="E444" i="3"/>
  <c r="E532" i="3"/>
  <c r="E445" i="3"/>
  <c r="E109" i="3"/>
  <c r="E74" i="3"/>
  <c r="E134" i="3"/>
  <c r="E210" i="3"/>
  <c r="E111" i="3"/>
  <c r="E130" i="3"/>
  <c r="E304" i="3"/>
  <c r="E136" i="3"/>
  <c r="E223" i="3"/>
  <c r="E132" i="3"/>
  <c r="E172" i="3"/>
  <c r="E579" i="3"/>
  <c r="E345" i="3"/>
  <c r="E465" i="3"/>
  <c r="E91" i="3"/>
  <c r="E508" i="3"/>
  <c r="E585" i="3"/>
  <c r="E519" i="3"/>
  <c r="E294" i="3"/>
  <c r="E330" i="3"/>
  <c r="E411" i="3"/>
  <c r="E584" i="3"/>
  <c r="E420" i="3"/>
  <c r="E483" i="3"/>
  <c r="E100" i="3"/>
  <c r="E135" i="3"/>
  <c r="E189" i="3"/>
  <c r="E311" i="3"/>
  <c r="E268" i="3"/>
  <c r="E182" i="3"/>
  <c r="E327" i="3"/>
  <c r="E106" i="3"/>
  <c r="E133" i="3"/>
  <c r="E495" i="3"/>
  <c r="E261" i="3"/>
  <c r="E270" i="3"/>
  <c r="E441" i="3"/>
  <c r="E505" i="3"/>
  <c r="E567" i="3"/>
  <c r="E562" i="3"/>
  <c r="E85" i="3"/>
  <c r="E117" i="3"/>
  <c r="E239" i="3"/>
  <c r="E580" i="3"/>
  <c r="E254" i="3"/>
  <c r="E29" i="3"/>
  <c r="E475" i="3"/>
  <c r="E459" i="3"/>
  <c r="E51" i="3"/>
  <c r="E498" i="3"/>
  <c r="E131" i="3"/>
  <c r="E240" i="3"/>
  <c r="E200" i="3"/>
  <c r="E191" i="3"/>
  <c r="E69" i="3"/>
  <c r="E514" i="3"/>
  <c r="E322" i="3"/>
  <c r="E211" i="3"/>
  <c r="Z6" i="3"/>
  <c r="E171" i="3"/>
  <c r="K6" i="3"/>
  <c r="E124" i="3"/>
  <c r="E183" i="3"/>
  <c r="E533" i="3"/>
  <c r="E175" i="3"/>
  <c r="E476" i="3"/>
  <c r="E549" i="3"/>
  <c r="E571" i="3"/>
  <c r="E511" i="3"/>
  <c r="E290" i="3"/>
  <c r="E358" i="3"/>
  <c r="E576" i="3"/>
  <c r="E156" i="3"/>
  <c r="O6" i="3"/>
  <c r="E93" i="3"/>
  <c r="E504" i="3"/>
  <c r="E19" i="3"/>
  <c r="E43" i="3"/>
  <c r="E68" i="3"/>
  <c r="E151" i="3"/>
  <c r="E282" i="3"/>
  <c r="E295" i="3"/>
  <c r="E581" i="3"/>
  <c r="E164" i="3"/>
  <c r="E256" i="3"/>
  <c r="E344" i="3"/>
  <c r="E177" i="3"/>
  <c r="E280" i="3"/>
  <c r="E221" i="3"/>
  <c r="E169" i="3"/>
  <c r="E390" i="3"/>
  <c r="E328" i="3"/>
  <c r="AM6" i="3"/>
  <c r="E403" i="3"/>
  <c r="E379" i="3"/>
  <c r="E14" i="3"/>
  <c r="E537" i="3"/>
  <c r="E313" i="3"/>
  <c r="E122" i="3"/>
  <c r="E167" i="3"/>
  <c r="AD6" i="3"/>
  <c r="E39" i="3"/>
  <c r="E375" i="3"/>
  <c r="E284" i="3"/>
  <c r="E250" i="3"/>
  <c r="E524" i="3"/>
  <c r="AQ6" i="3"/>
  <c r="E60" i="3"/>
  <c r="J6" i="3"/>
  <c r="E188" i="3"/>
  <c r="E470" i="3"/>
  <c r="E233" i="3"/>
  <c r="E139" i="3"/>
  <c r="E369" i="3"/>
  <c r="E94" i="3"/>
  <c r="E219" i="3"/>
  <c r="E242" i="3"/>
  <c r="E423" i="3"/>
  <c r="E563" i="3"/>
  <c r="E201" i="3"/>
  <c r="E377" i="3"/>
  <c r="E204" i="3"/>
  <c r="E454" i="3"/>
  <c r="E77" i="3"/>
  <c r="E503" i="3"/>
  <c r="E538" i="3"/>
  <c r="E44" i="3"/>
  <c r="E107" i="3"/>
  <c r="E457" i="3"/>
  <c r="E453" i="3"/>
  <c r="E407" i="3"/>
  <c r="E166" i="3"/>
  <c r="I6" i="3"/>
  <c r="E128" i="3"/>
  <c r="E321" i="3"/>
  <c r="E272" i="3"/>
  <c r="E208" i="3"/>
  <c r="E127" i="3"/>
  <c r="E373" i="3"/>
  <c r="E155" i="3"/>
  <c r="E202" i="3"/>
  <c r="E308" i="3"/>
  <c r="E212" i="3"/>
  <c r="E536" i="3"/>
  <c r="E554" i="3"/>
  <c r="E389" i="3"/>
  <c r="E310" i="3"/>
  <c r="E309" i="3"/>
  <c r="E235" i="3"/>
  <c r="E173" i="3"/>
  <c r="E556" i="3"/>
  <c r="E41" i="3"/>
  <c r="E412" i="3"/>
  <c r="E49"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286" i="3"/>
  <c r="E491" i="3"/>
  <c r="E59" i="3"/>
  <c r="E84" i="3"/>
  <c r="E494" i="3"/>
  <c r="E86" i="3"/>
  <c r="T6" i="3"/>
  <c r="E13" i="3"/>
  <c r="E115" i="3"/>
  <c r="E190" i="3"/>
  <c r="E80" i="3"/>
  <c r="E16" i="3"/>
  <c r="E105" i="3"/>
  <c r="E543" i="3"/>
  <c r="E422" i="3"/>
  <c r="AH6" i="3"/>
  <c r="E401" i="3"/>
  <c r="E108" i="3"/>
  <c r="E276" i="3"/>
  <c r="L6" i="3"/>
  <c r="E473" i="3"/>
  <c r="E38" i="3"/>
  <c r="E234" i="3"/>
  <c r="E392" i="3"/>
  <c r="E112" i="3"/>
  <c r="E340" i="3"/>
  <c r="E62" i="3"/>
  <c r="E365" i="3"/>
  <c r="E141" i="3"/>
  <c r="E460" i="3"/>
  <c r="E58" i="3"/>
  <c r="E24" i="3"/>
  <c r="E244" i="3"/>
  <c r="E500" i="3"/>
  <c r="E446" i="3"/>
  <c r="E48" i="3"/>
  <c r="E442" i="3"/>
  <c r="E64" i="3"/>
  <c r="AL6" i="3"/>
  <c r="E408" i="3"/>
  <c r="E225" i="3"/>
  <c r="E158" i="3"/>
  <c r="E393" i="3"/>
  <c r="E440" i="3"/>
  <c r="E463" i="3"/>
  <c r="E346" i="3"/>
  <c r="E15" i="3"/>
  <c r="E299" i="3"/>
  <c r="E123" i="3"/>
  <c r="E176" i="3"/>
  <c r="E552" i="3"/>
  <c r="E521" i="3"/>
  <c r="E312" i="3"/>
  <c r="E138" i="3"/>
  <c r="E149" i="3"/>
  <c r="E430" i="3"/>
  <c r="E160" i="3"/>
  <c r="E482" i="3"/>
  <c r="E451" i="3"/>
  <c r="E428" i="3"/>
  <c r="E326"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9" i="3"/>
  <c r="X6" i="3"/>
  <c r="E161" i="3"/>
  <c r="E215" i="3"/>
  <c r="M6" i="3"/>
  <c r="E509" i="3"/>
  <c r="E526" i="3"/>
  <c r="E28" i="3"/>
  <c r="E400" i="3"/>
  <c r="E315" i="3"/>
  <c r="E406" i="3"/>
  <c r="E228" i="3"/>
  <c r="E586" i="3"/>
  <c r="E185" i="3"/>
  <c r="E337" i="3"/>
  <c r="E305" i="3"/>
  <c r="E27" i="3"/>
  <c r="E477" i="3"/>
  <c r="E318" i="3"/>
  <c r="E72" i="3"/>
  <c r="E45" i="3"/>
  <c r="E578" i="3"/>
  <c r="E395" i="3"/>
  <c r="E229" i="3"/>
  <c r="E366" i="3"/>
  <c r="E443" i="3"/>
  <c r="E203" i="3"/>
  <c r="E424" i="3"/>
  <c r="AN6" i="3"/>
  <c r="E302" i="3"/>
  <c r="E97" i="3"/>
  <c r="E153" i="3"/>
  <c r="E547" i="3"/>
  <c r="E145" i="3"/>
  <c r="E288" i="3"/>
  <c r="E224" i="3"/>
  <c r="E154" i="3"/>
  <c r="Y6" i="3"/>
  <c r="E297" i="3"/>
  <c r="E57" i="3"/>
  <c r="E50" i="3"/>
  <c r="E137" i="3"/>
  <c r="E486" i="3"/>
  <c r="E35" i="3"/>
  <c r="E3" i="6"/>
  <c r="E6" i="6" s="1"/>
  <c r="E118" i="3"/>
  <c r="E487" i="3"/>
  <c r="E275" i="3"/>
  <c r="E148" i="3"/>
  <c r="E246" i="3"/>
  <c r="E263" i="3"/>
  <c r="E535" i="3"/>
  <c r="E278" i="3"/>
  <c r="E335" i="3"/>
  <c r="E570" i="3"/>
  <c r="E247" i="3"/>
  <c r="AJ6" i="3"/>
  <c r="E217" i="3"/>
  <c r="E273" i="3"/>
  <c r="E489" i="3"/>
  <c r="E485" i="3"/>
  <c r="E368" i="3"/>
  <c r="E214" i="3"/>
  <c r="E468" i="3"/>
  <c r="E560" i="3"/>
  <c r="AK6" i="3"/>
  <c r="E347" i="3"/>
  <c r="E301" i="3"/>
  <c r="E361" i="3"/>
  <c r="E216" i="3"/>
  <c r="AR6" i="3"/>
  <c r="E410" i="3"/>
  <c r="E343" i="3"/>
  <c r="E331" i="3"/>
  <c r="E447" i="3"/>
  <c r="E414" i="3"/>
  <c r="E269" i="3"/>
  <c r="E351" i="3"/>
  <c r="E433" i="3"/>
  <c r="E458" i="3"/>
  <c r="E99" i="3"/>
  <c r="E253" i="3"/>
  <c r="E61" i="3"/>
  <c r="E415" i="3"/>
  <c r="V6" i="3"/>
  <c r="E516" i="3"/>
  <c r="E480" i="3"/>
  <c r="E121" i="3"/>
  <c r="E448" i="3"/>
  <c r="E32" i="3"/>
  <c r="E55" i="3"/>
  <c r="Q6" i="3"/>
  <c r="E434" i="3"/>
  <c r="E402" i="3"/>
  <c r="E565" i="3"/>
  <c r="E418" i="3"/>
  <c r="E285" i="3"/>
  <c r="E319" i="3"/>
  <c r="E126" i="3"/>
  <c r="E432" i="3"/>
  <c r="E397" i="3"/>
  <c r="E168" i="3"/>
  <c r="E438" i="3"/>
  <c r="E352" i="3"/>
  <c r="E98" i="3"/>
  <c r="E87" i="3"/>
  <c r="E163" i="3"/>
  <c r="E341" i="3"/>
  <c r="E582" i="3"/>
  <c r="E520" i="3"/>
  <c r="E90" i="3"/>
  <c r="E364" i="3"/>
  <c r="E170" i="3"/>
  <c r="E178" i="3"/>
  <c r="E427" i="3"/>
  <c r="E324" i="3"/>
  <c r="E102" i="3"/>
  <c r="E95" i="3"/>
  <c r="S10" i="39"/>
  <c r="H10" i="39"/>
  <c r="U10" i="39" s="1"/>
  <c r="E232" i="3"/>
  <c r="E220" i="3"/>
  <c r="E356" i="3"/>
  <c r="E26" i="3"/>
  <c r="E497" i="3"/>
  <c r="E512" i="3"/>
  <c r="E197" i="3"/>
  <c r="AF6" i="3"/>
  <c r="E174" i="3"/>
  <c r="E391" i="3"/>
  <c r="E283" i="3"/>
  <c r="E184" i="3"/>
  <c r="E371" i="3"/>
  <c r="E467" i="3"/>
  <c r="E349" i="3"/>
  <c r="E37" i="3"/>
  <c r="AP6" i="3"/>
  <c r="E502" i="3"/>
  <c r="E539" i="3"/>
  <c r="E405" i="3"/>
  <c r="E22" i="3"/>
  <c r="E34" i="3"/>
  <c r="E18" i="3"/>
  <c r="E198" i="3"/>
  <c r="E63" i="3"/>
  <c r="E67" i="3"/>
  <c r="E267" i="3"/>
  <c r="E409" i="3"/>
  <c r="E241" i="3"/>
  <c r="E417" i="3"/>
  <c r="E449" i="3"/>
  <c r="E575" i="3"/>
  <c r="U7" i="36"/>
  <c r="H10" i="40"/>
  <c r="AB10" i="40" s="1"/>
  <c r="J10" i="40"/>
  <c r="AC10" i="40" s="1"/>
  <c r="J10" i="39"/>
  <c r="W10" i="39" s="1"/>
  <c r="F10" i="40"/>
  <c r="S10" i="40" s="1"/>
  <c r="O65" i="71"/>
  <c r="D66" i="71"/>
  <c r="O66" i="71"/>
  <c r="R36" i="36"/>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E456" i="3"/>
  <c r="E525" i="3"/>
  <c r="E205" i="3"/>
  <c r="E113" i="3"/>
  <c r="E206" i="3"/>
  <c r="E383" i="3"/>
  <c r="E96" i="3"/>
  <c r="E42" i="3"/>
  <c r="E281" i="3"/>
  <c r="E513" i="3"/>
  <c r="E81" i="3"/>
  <c r="E355" i="3"/>
  <c r="E33" i="3"/>
  <c r="E492" i="3"/>
  <c r="E249" i="3"/>
  <c r="E46" i="3"/>
  <c r="E484" i="3"/>
  <c r="E544" i="3"/>
  <c r="E292" i="3"/>
  <c r="E152" i="3"/>
  <c r="E479" i="3"/>
  <c r="E517" i="3"/>
  <c r="E255" i="3"/>
  <c r="E466" i="3"/>
  <c r="E499" i="3"/>
  <c r="T52" i="71"/>
  <c r="D52" i="71"/>
  <c r="T40" i="71"/>
  <c r="D40"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7" i="1"/>
  <c r="M27" i="67"/>
  <c r="M27" i="15"/>
  <c r="F41" i="15"/>
  <c r="AC10" i="39" l="1"/>
  <c r="AB10" i="39"/>
  <c r="W10" i="40"/>
  <c r="D14" i="12"/>
  <c r="D17" i="12" s="1"/>
  <c r="C17" i="12" s="1"/>
  <c r="AA10" i="40"/>
  <c r="L18" i="9"/>
  <c r="D3" i="37"/>
  <c r="D19" i="11"/>
  <c r="C19" i="11" s="1"/>
  <c r="C20" i="11" s="1"/>
  <c r="C28" i="11" s="1"/>
  <c r="C27" i="11" s="1"/>
  <c r="D37" i="11"/>
  <c r="D3" i="33"/>
  <c r="D3" i="34"/>
  <c r="U10" i="40"/>
  <c r="H6" i="3"/>
  <c r="AC6" i="3"/>
  <c r="D116" i="43"/>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4" i="6"/>
  <c r="M19" i="9"/>
  <c r="C118" i="9" s="1"/>
  <c r="B2" i="74" s="1"/>
  <c r="D26" i="6"/>
  <c r="D8" i="6"/>
  <c r="D14" i="6"/>
  <c r="D6" i="6"/>
  <c r="D9" i="6"/>
  <c r="D10" i="6"/>
  <c r="L19" i="9"/>
  <c r="D29" i="6"/>
  <c r="H22" i="6"/>
  <c r="H21"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4" i="6" l="1"/>
  <c r="H25" i="6"/>
  <c r="E6" i="3"/>
  <c r="C26" i="11"/>
  <c r="D22" i="11" s="1"/>
  <c r="C44" i="11"/>
  <c r="D41" i="11" s="1"/>
  <c r="C26" i="68"/>
  <c r="D22" i="68" s="1"/>
  <c r="C23" i="68"/>
  <c r="C44" i="68"/>
  <c r="D41" i="68"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71" l="1"/>
  <c r="C18" i="71"/>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7" i="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T16" i="71" l="1"/>
  <c r="D16" i="71"/>
  <c r="U16" i="71" s="1"/>
  <c r="C15" i="71"/>
  <c r="E48" i="2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I42" i="35" l="1"/>
  <c r="J42" i="35" s="1"/>
  <c r="C102" i="9"/>
  <c r="C21" i="9"/>
  <c r="B3"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0" i="1"/>
  <c r="AO8" i="1"/>
  <c r="AO6" i="1"/>
  <c r="AO11" i="1"/>
  <c r="B3" i="35" l="1"/>
  <c r="E6" i="12" s="1"/>
  <c r="E8" i="12"/>
  <c r="R48" i="39"/>
  <c r="C10" i="71"/>
  <c r="D11" i="71"/>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B3" i="39" s="1"/>
  <c r="D9" i="71"/>
  <c r="C8" i="71"/>
  <c r="C42" i="40"/>
  <c r="C43" i="40"/>
  <c r="E47" i="40"/>
  <c r="F47" i="40" s="1"/>
  <c r="E46" i="40"/>
  <c r="F46" i="40" s="1"/>
  <c r="I47" i="40"/>
  <c r="J47" i="40" s="1"/>
  <c r="C32" i="12" l="1"/>
  <c r="B2" i="12" s="1"/>
  <c r="B3"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2" i="9" l="1"/>
  <c r="D102" i="9"/>
  <c r="D21" i="9"/>
  <c r="G19" i="9"/>
  <c r="G21" i="9" s="1"/>
  <c r="D103" i="9"/>
  <c r="G20" i="9"/>
  <c r="D7" i="71"/>
  <c r="C6" i="71"/>
  <c r="E14" i="74"/>
  <c r="F14" i="74"/>
  <c r="B5" i="74"/>
  <c r="D5" i="74" s="1"/>
  <c r="C32" i="9" l="1"/>
  <c r="C35" i="9" s="1"/>
  <c r="C34" i="9" s="1"/>
  <c r="D118" i="9" s="1"/>
  <c r="D119" i="9" s="1"/>
  <c r="D5" i="52" s="1"/>
  <c r="B49" i="72" s="1"/>
  <c r="D6" i="71"/>
  <c r="C5" i="71"/>
  <c r="D5" i="71" s="1"/>
  <c r="M24" i="43" s="1"/>
  <c r="B6" i="74"/>
  <c r="D6" i="74" s="1"/>
  <c r="H118" i="9" l="1"/>
  <c r="H101" i="9" s="1"/>
  <c r="M48" i="9" s="1"/>
  <c r="F118" i="9"/>
  <c r="F119" i="9" s="1"/>
  <c r="F5" i="52" s="1"/>
  <c r="B53" i="72" s="1"/>
  <c r="D4" i="52"/>
  <c r="B47" i="72" s="1"/>
  <c r="D5" i="53" l="1"/>
  <c r="H4" i="52"/>
  <c r="D45" i="9"/>
  <c r="C85" i="9" s="1"/>
  <c r="C104" i="9"/>
  <c r="H107" i="9"/>
  <c r="I118" i="9"/>
  <c r="H119" i="9"/>
  <c r="H5" i="52" s="1"/>
  <c r="G118" i="9"/>
  <c r="G4" i="52" s="1"/>
  <c r="B52" i="72" s="1"/>
  <c r="F4" i="52"/>
  <c r="B51" i="72" s="1"/>
  <c r="D6" i="53"/>
  <c r="B22" i="72" s="1"/>
  <c r="B20" i="72"/>
  <c r="C72" i="9"/>
  <c r="C64" i="9"/>
  <c r="C63" i="9" s="1"/>
  <c r="C67" i="9" s="1"/>
  <c r="D52" i="9"/>
  <c r="C78" i="9"/>
  <c r="C73" i="9" s="1"/>
  <c r="C93" i="9"/>
  <c r="C86" i="9" s="1"/>
  <c r="D53" i="9"/>
  <c r="D55" i="9"/>
  <c r="M53" i="9" s="1"/>
  <c r="M49" i="9"/>
  <c r="D122" i="9"/>
  <c r="D13" i="53"/>
  <c r="H102" i="9"/>
  <c r="H108" i="9" s="1"/>
  <c r="I4" i="52"/>
  <c r="C105" i="9"/>
  <c r="E118" i="9" l="1"/>
  <c r="E4" i="52" s="1"/>
  <c r="B48" i="72" s="1"/>
  <c r="D15" i="53"/>
  <c r="B31" i="72" s="1"/>
  <c r="C6" i="74"/>
  <c r="D59" i="9"/>
  <c r="M55" i="9" s="1"/>
  <c r="C68" i="9"/>
  <c r="D54" i="9" s="1"/>
  <c r="C95" i="9"/>
  <c r="D123" i="9"/>
  <c r="D9" i="52" s="1"/>
  <c r="D8" i="52"/>
  <c r="C5" i="74"/>
  <c r="D7" i="53"/>
  <c r="B21" i="72" s="1"/>
  <c r="L65" i="9"/>
  <c r="M65" i="9" s="1"/>
  <c r="L68" i="9"/>
  <c r="M68" i="9" s="1"/>
  <c r="L67" i="9"/>
  <c r="M67" i="9" s="1"/>
  <c r="L64" i="9"/>
  <c r="M64" i="9" s="1"/>
  <c r="L66" i="9"/>
  <c r="M66" i="9" s="1"/>
  <c r="L63" i="9"/>
  <c r="M63" i="9" s="1"/>
  <c r="C79" i="9"/>
  <c r="D14" i="53"/>
  <c r="B32" i="72" s="1"/>
  <c r="B30" i="72"/>
  <c r="M69" i="9" l="1"/>
  <c r="N69" i="9" s="1"/>
  <c r="C80" i="9"/>
  <c r="E80" i="9" s="1"/>
  <c r="E81" i="9" s="1"/>
  <c r="C96" i="9"/>
  <c r="E96" i="9" s="1"/>
  <c r="E97" i="9" s="1"/>
  <c r="C81" i="9" l="1"/>
  <c r="C97" i="9"/>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<sst xmlns="http://schemas.openxmlformats.org/spreadsheetml/2006/main" count="12665" uniqueCount="5020">
  <si>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</si>
  <si>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</si>
  <si>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</si>
  <si>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</si>
  <si>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</si>
  <si>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</si>
  <si>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</si>
  <si>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</si>
  <si>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</si>
  <si>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</si>
  <si>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</si>
  <si>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</si>
  <si>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</si>
  <si>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</si>
  <si>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</si>
  <si>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</si>
  <si>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</si>
  <si>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</si>
  <si>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</si>
  <si>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</si>
  <si>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</si>
  <si>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</si>
  <si>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</si>
  <si>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</si>
  <si>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</si>
  <si>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</si>
  <si>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</si>
  <si>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</si>
  <si>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</si>
  <si>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</si>
  <si>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</si>
  <si>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</si>
  <si>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</si>
  <si>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</si>
  <si>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</si>
  <si>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</si>
  <si>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</si>
  <si>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</si>
  <si>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</si>
  <si>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</si>
  <si>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</si>
  <si>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</si>
  <si>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</si>
  <si>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</si>
  <si>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</si>
  <si>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</si>
  <si>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</si>
  <si>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</si>
  <si>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</si>
  <si>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</si>
  <si>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</si>
  <si>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</si>
  <si>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</si>
  <si>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</si>
  <si>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</si>
  <si>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</si>
  <si>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</si>
  <si>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</si>
  <si>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</si>
  <si>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</si>
  <si>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</si>
  <si>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</si>
  <si>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</si>
  <si>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</si>
  <si>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</si>
  <si>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</si>
  <si>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</si>
  <si>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</si>
  <si>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</si>
  <si>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</si>
  <si>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</si>
  <si>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</si>
  <si>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</si>
  <si>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</si>
  <si>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</si>
  <si>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</si>
  <si>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</si>
  <si>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</si>
  <si>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</si>
  <si>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</si>
  <si>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</si>
  <si>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</si>
  <si>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</si>
  <si>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</si>
  <si>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</si>
  <si>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</si>
  <si>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</si>
  <si>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</si>
  <si>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</si>
  <si>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</si>
  <si>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</si>
  <si>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</si>
  <si>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</si>
  <si>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</si>
  <si>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</si>
  <si>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</si>
  <si>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</si>
  <si>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</si>
  <si>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</si>
  <si>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</si>
  <si>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</si>
  <si>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</si>
  <si>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</si>
  <si>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</si>
  <si>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</si>
  <si>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</si>
  <si>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</si>
  <si>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</si>
  <si>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</si>
  <si>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</si>
  <si>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</si>
  <si>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</si>
  <si>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</si>
  <si>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</si>
  <si>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</si>
  <si>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</si>
  <si>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</si>
  <si>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</si>
  <si>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</si>
  <si>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</si>
  <si>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</si>
  <si>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</si>
  <si>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</si>
  <si>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</si>
  <si>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</si>
  <si>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</si>
  <si>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</si>
  <si>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</si>
  <si>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</si>
  <si>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</si>
  <si>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</si>
  <si>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</si>
  <si>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</si>
  <si>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</si>
  <si>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</si>
  <si>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</si>
  <si>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</si>
  <si>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</si>
  <si>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</si>
  <si>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</si>
  <si>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</si>
  <si>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</si>
  <si>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</si>
  <si>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</si>
  <si>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</si>
  <si>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</si>
  <si>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</si>
  <si>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</si>
  <si>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</si>
  <si>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</si>
  <si>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</si>
  <si>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</si>
  <si>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</si>
  <si>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</si>
  <si>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</si>
  <si>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</si>
  <si>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</si>
  <si>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</si>
  <si>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</si>
  <si>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</si>
  <si>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</si>
  <si>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</si>
  <si>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</si>
  <si>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</si>
  <si>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</si>
  <si>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</si>
  <si>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</si>
  <si>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</si>
  <si>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</si>
  <si>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</si>
  <si>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</si>
  <si>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</si>
  <si>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</si>
  <si>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</si>
  <si>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</si>
  <si>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</si>
  <si>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</si>
  <si>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</si>
  <si>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</si>
  <si>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</si>
  <si>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</si>
  <si>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</si>
  <si>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</si>
  <si>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</si>
  <si>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</si>
  <si>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</si>
  <si>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</si>
  <si>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</si>
  <si>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</si>
  <si>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</si>
  <si>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</si>
  <si>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</si>
  <si>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</si>
  <si>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</si>
  <si>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</si>
  <si>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</si>
  <si>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</si>
  <si>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</si>
  <si>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</si>
  <si>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</si>
  <si>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</si>
  <si>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</si>
  <si>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</si>
  <si>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</si>
  <si>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</si>
  <si>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</si>
  <si>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</si>
  <si>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</si>
  <si>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</si>
  <si>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</si>
  <si>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</si>
  <si>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</si>
  <si>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</si>
  <si>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</si>
  <si>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</si>
  <si>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</si>
  <si>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</si>
  <si>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</si>
  <si>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</si>
  <si>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</si>
  <si>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</si>
  <si>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</si>
  <si>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</si>
  <si>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</si>
  <si>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</si>
  <si>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</si>
  <si>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</si>
  <si>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</si>
  <si>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</si>
  <si>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</si>
  <si>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</si>
  <si>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</si>
  <si>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</si>
  <si>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</si>
  <si>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</si>
  <si>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</si>
  <si>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</si>
  <si>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</si>
  <si>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</si>
  <si>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</si>
  <si>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</si>
  <si>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</si>
  <si>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</si>
  <si>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</si>
  <si>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</si>
  <si>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</si>
  <si>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</si>
  <si>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</si>
  <si>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</si>
  <si>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</si>
  <si>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</si>
  <si>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</si>
  <si>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</si>
  <si>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</si>
  <si>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</si>
  <si>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</si>
  <si>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</si>
  <si>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</si>
  <si>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</si>
  <si>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</si>
  <si>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</si>
  <si>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</si>
  <si>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</si>
  <si>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</si>
  <si>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</si>
  <si>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</si>
  <si>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</si>
  <si>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</si>
  <si>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</si>
  <si>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</si>
  <si>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</si>
  <si>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</si>
  <si>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</si>
  <si>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</si>
  <si>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</si>
  <si>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</si>
  <si>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</si>
  <si>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</si>
  <si>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</si>
  <si>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</si>
  <si>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</si>
  <si>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</si>
  <si>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</si>
  <si>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</si>
  <si>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</si>
  <si>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</si>
  <si>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</si>
  <si>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</si>
  <si>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</si>
  <si>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</si>
  <si>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</si>
  <si>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</si>
  <si>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</si>
  <si>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</si>
  <si>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</si>
  <si>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</si>
  <si>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</si>
  <si>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</si>
  <si>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</si>
  <si>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</si>
  <si>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</si>
  <si>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</si>
  <si>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</si>
  <si>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</si>
  <si>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</si>
  <si>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</si>
  <si>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</si>
  <si>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</si>
  <si>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</si>
  <si>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</si>
  <si>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</si>
  <si>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</si>
  <si>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</si>
  <si>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</si>
  <si>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</si>
  <si>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</si>
  <si>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</si>
  <si>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</si>
  <si>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</si>
  <si>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</si>
  <si>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</si>
  <si>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</si>
  <si>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</si>
  <si>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</si>
  <si>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</si>
  <si>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</si>
  <si>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</si>
  <si>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</si>
  <si>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</si>
  <si>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</si>
  <si>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</si>
  <si>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</si>
  <si>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</si>
  <si>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</si>
  <si>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</si>
  <si>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</si>
  <si>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</si>
  <si>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</si>
  <si>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</si>
  <si>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</si>
  <si>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</si>
  <si>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</si>
  <si>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</si>
  <si>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</si>
  <si>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</si>
  <si>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</si>
  <si>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</si>
  <si>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</si>
  <si>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</si>
  <si>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</si>
  <si>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</si>
  <si>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</si>
  <si>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</si>
  <si>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</si>
  <si>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</si>
  <si>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</si>
  <si>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</si>
  <si>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</si>
  <si>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</si>
  <si>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</si>
  <si>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</si>
  <si>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</si>
  <si>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</si>
  <si>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</si>
  <si>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</si>
  <si>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</si>
  <si>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</si>
  <si>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</si>
  <si>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</si>
  <si>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</si>
  <si>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</si>
  <si>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</si>
  <si>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</si>
  <si>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</si>
  <si>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</si>
  <si>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</si>
  <si>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</si>
  <si>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</si>
  <si>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</si>
  <si>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</si>
  <si>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</si>
  <si>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</si>
  <si>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</si>
  <si>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</si>
  <si>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</si>
  <si>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</si>
  <si>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</si>
  <si>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</si>
  <si>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</si>
  <si>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</si>
  <si>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</si>
  <si>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</si>
  <si>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</si>
  <si>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</si>
  <si>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</si>
  <si>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</si>
  <si>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</si>
  <si>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</si>
  <si>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</si>
  <si>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</si>
  <si>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</si>
  <si>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</si>
  <si>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</si>
  <si>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</si>
  <si>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</si>
  <si>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</si>
  <si>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</si>
  <si>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</si>
  <si>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</si>
  <si>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</si>
  <si>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</si>
  <si>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</si>
  <si>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</si>
  <si>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</si>
  <si>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</si>
  <si>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</si>
  <si>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</si>
  <si>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</si>
  <si>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</si>
  <si>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</si>
  <si>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</si>
  <si>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</si>
  <si>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</si>
  <si>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</si>
  <si>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</si>
  <si>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</si>
  <si>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</si>
  <si>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</si>
  <si>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</si>
  <si>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</si>
  <si>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</si>
  <si>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</si>
  <si>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</si>
  <si>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</si>
  <si>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</si>
  <si>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</si>
  <si>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</si>
  <si>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</si>
  <si>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</si>
  <si>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</si>
  <si>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</si>
  <si>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</si>
  <si>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</si>
  <si>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</si>
  <si>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</si>
  <si>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</si>
  <si>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</si>
  <si>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</si>
  <si>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</si>
  <si>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</si>
  <si>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</si>
  <si>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</si>
  <si>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</si>
  <si>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</si>
  <si>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</si>
  <si>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</si>
  <si>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</si>
  <si>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</si>
  <si>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</si>
  <si>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</si>
  <si>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</si>
  <si>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</si>
  <si>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</si>
  <si>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</si>
  <si>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</si>
  <si>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</si>
  <si>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</si>
  <si>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</si>
  <si>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</si>
  <si>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</si>
  <si>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</si>
  <si>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</si>
  <si>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</si>
  <si>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</si>
  <si>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</si>
  <si>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</si>
  <si>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</si>
  <si>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</si>
  <si>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</si>
  <si>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</si>
  <si>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</si>
  <si>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</si>
  <si>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</si>
  <si>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</si>
  <si>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</si>
  <si>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</si>
  <si>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</si>
  <si>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</si>
  <si>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</si>
  <si>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</si>
  <si>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</si>
  <si>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</si>
  <si>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</si>
  <si>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</si>
  <si>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</si>
  <si>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</si>
  <si>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</si>
  <si>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</si>
  <si>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</si>
  <si>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</si>
  <si>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</si>
  <si>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</si>
  <si>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</si>
  <si>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</si>
  <si>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</si>
  <si>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</si>
  <si>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</si>
  <si>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</si>
  <si>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</si>
  <si>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</si>
  <si>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</si>
  <si>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</si>
  <si>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</si>
  <si>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</si>
  <si>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</si>
  <si>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</si>
  <si>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</si>
  <si>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</si>
  <si>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</si>
  <si>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</si>
  <si>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</si>
  <si>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</si>
  <si>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</si>
  <si>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</si>
  <si>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</si>
  <si>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</si>
  <si>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</si>
  <si>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</si>
  <si>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</si>
  <si>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</si>
  <si>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</si>
  <si>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</si>
  <si>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</si>
  <si>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</si>
  <si>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</si>
  <si>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</si>
  <si>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</si>
  <si>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</si>
  <si>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</si>
  <si>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</si>
  <si>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</si>
  <si>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</si>
  <si>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</si>
  <si>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</si>
  <si>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</si>
  <si>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</si>
  <si>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</si>
  <si>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</si>
  <si>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</si>
  <si>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</si>
  <si>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</si>
  <si>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</si>
  <si>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</si>
  <si>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</si>
  <si>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</si>
  <si>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</si>
  <si>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</si>
  <si>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</si>
  <si>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</si>
  <si>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</si>
  <si>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</si>
  <si>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</si>
  <si>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</si>
  <si>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</si>
  <si>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</si>
  <si>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</si>
  <si>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</si>
  <si>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</si>
  <si>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</si>
  <si>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</si>
  <si>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</si>
  <si>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</si>
  <si>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</si>
  <si>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</si>
  <si>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</si>
  <si>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</si>
  <si>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</si>
  <si>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</si>
  <si>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</si>
  <si>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</si>
  <si>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</si>
  <si>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</si>
  <si>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</si>
  <si>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</si>
  <si>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</si>
  <si>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</si>
  <si>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</si>
  <si>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</si>
  <si>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</si>
  <si>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</si>
  <si>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</si>
  <si>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</si>
  <si>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</si>
  <si>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</si>
  <si>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</si>
  <si>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</si>
  <si>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</si>
  <si>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</si>
  <si>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</si>
  <si>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</si>
  <si>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</si>
  <si>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</si>
  <si>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</si>
  <si>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</si>
  <si>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</si>
  <si>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</si>
  <si>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</si>
  <si>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</si>
  <si>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</si>
  <si>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</si>
  <si>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</si>
  <si>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</si>
  <si>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</si>
  <si>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</si>
  <si>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</si>
  <si>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</si>
  <si>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</si>
  <si>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</si>
  <si>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</si>
  <si>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</si>
  <si>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</si>
  <si>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</si>
  <si>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</si>
  <si>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</si>
  <si>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</si>
  <si>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</si>
  <si>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</si>
  <si>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</si>
  <si>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</si>
  <si>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</si>
  <si>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</si>
  <si>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</si>
  <si>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</si>
  <si>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</si>
  <si>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</si>
  <si>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</si>
  <si>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</si>
  <si>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</si>
  <si>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</si>
  <si>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</si>
  <si>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</si>
  <si>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</si>
  <si>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</si>
  <si>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</si>
  <si>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</si>
  <si>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</si>
  <si>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</si>
  <si>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</si>
  <si>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</si>
  <si>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</si>
  <si>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</si>
  <si>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</si>
  <si>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</si>
  <si>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</si>
  <si>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</si>
  <si>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</si>
  <si>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</si>
  <si>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</si>
  <si>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</si>
  <si>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</si>
  <si>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</si>
  <si>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</si>
  <si>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</si>
  <si>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</si>
  <si>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</si>
  <si>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</si>
  <si>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</si>
  <si>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</si>
  <si>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</si>
  <si>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</si>
  <si>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</si>
  <si>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</si>
  <si>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</si>
  <si>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</si>
  <si>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</si>
  <si>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</si>
  <si>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</si>
  <si>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</si>
  <si>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</si>
  <si>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</si>
  <si>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</si>
  <si>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</si>
  <si>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</si>
  <si>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</si>
  <si>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</si>
  <si>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</si>
  <si>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</si>
  <si>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</si>
  <si>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</si>
  <si>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</si>
  <si>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</si>
  <si>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</si>
  <si>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</si>
  <si>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</si>
  <si>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</si>
  <si>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</si>
  <si>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</si>
  <si>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</si>
  <si>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</si>
  <si>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</si>
  <si>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</si>
  <si>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</si>
  <si>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</si>
  <si>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</si>
  <si>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</si>
  <si>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</si>
  <si>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</si>
  <si>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</si>
  <si>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</si>
  <si>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</si>
  <si>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</si>
  <si>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</si>
  <si>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</si>
  <si>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</si>
  <si>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</si>
  <si>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</si>
  <si>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</si>
  <si>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</si>
  <si>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</si>
  <si>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</si>
  <si>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</si>
  <si>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</si>
  <si>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</si>
  <si>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</si>
  <si>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</si>
  <si>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</si>
  <si>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</si>
  <si>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</si>
  <si>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</si>
  <si>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</si>
  <si>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</si>
  <si>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</si>
  <si>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</si>
  <si>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</si>
  <si>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</si>
  <si>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</si>
  <si>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</si>
  <si>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</si>
  <si>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</si>
  <si>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</si>
  <si>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</si>
  <si>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</si>
  <si>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</si>
  <si>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</si>
  <si>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</si>
  <si>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</si>
  <si>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</si>
  <si>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</si>
  <si>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</si>
  <si>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</si>
  <si>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</si>
  <si>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</si>
  <si>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</si>
  <si>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</si>
  <si>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</si>
  <si>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</si>
  <si>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</si>
  <si>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</si>
  <si>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</si>
  <si>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</si>
  <si>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</si>
  <si>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</si>
  <si>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</si>
  <si>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</si>
  <si>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</si>
  <si>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</si>
  <si>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</si>
  <si>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</si>
  <si>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</si>
  <si>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</si>
  <si>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</si>
  <si>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</si>
  <si>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</si>
  <si>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</si>
  <si>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</si>
  <si>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</si>
  <si>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</si>
  <si>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</si>
  <si>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</si>
  <si>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</si>
  <si>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</si>
  <si>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</si>
  <si>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</si>
  <si>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</si>
  <si>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</si>
  <si>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</si>
  <si>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</si>
  <si>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</si>
  <si>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</si>
  <si>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</si>
  <si>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</si>
  <si>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</si>
  <si>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</si>
  <si>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</si>
  <si>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</si>
  <si>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</si>
  <si>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</si>
  <si>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</si>
  <si>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</si>
  <si>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</si>
  <si>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</si>
  <si>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</si>
  <si>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</si>
  <si>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</si>
  <si>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</si>
  <si>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</si>
  <si>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</si>
  <si>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</si>
  <si>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</si>
  <si>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</si>
  <si>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</si>
  <si>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</si>
  <si>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</si>
  <si>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</si>
  <si>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</si>
  <si>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</si>
  <si>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</si>
  <si>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</si>
  <si>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</si>
  <si>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</si>
  <si>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</si>
  <si>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</si>
  <si>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</si>
  <si>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</si>
  <si>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</si>
  <si>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</si>
  <si>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</si>
  <si>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</si>
  <si>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</si>
  <si>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</si>
  <si>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</si>
  <si>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</si>
  <si>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</si>
  <si>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</si>
  <si>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</si>
  <si>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</si>
  <si>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</si>
  <si>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</si>
  <si>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</si>
  <si>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</si>
  <si>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</si>
  <si>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</si>
  <si>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</si>
  <si>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</si>
  <si>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</si>
  <si>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</si>
  <si>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</si>
  <si>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</si>
  <si>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</si>
  <si>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</si>
  <si>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</si>
  <si>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</si>
  <si>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</si>
  <si>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</si>
  <si>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</si>
  <si>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</si>
  <si>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</si>
  <si>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</si>
  <si>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</si>
  <si>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</si>
  <si>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</si>
  <si>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</si>
  <si>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</si>
  <si>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</si>
  <si>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</si>
  <si>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</si>
  <si>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</si>
  <si>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</si>
  <si>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</si>
  <si>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</si>
  <si>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</si>
  <si>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</si>
  <si>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</si>
  <si>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</si>
  <si>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</si>
  <si>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</si>
  <si>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</si>
  <si>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</si>
  <si>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</si>
  <si>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</si>
  <si>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</si>
  <si>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</si>
  <si>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</si>
  <si>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</si>
  <si>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</si>
  <si>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</si>
  <si>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</si>
  <si>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</si>
  <si>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</si>
  <si>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</si>
  <si>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</si>
  <si>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</si>
  <si>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</si>
  <si>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</si>
  <si>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</si>
  <si>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</si>
  <si>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</si>
  <si>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</si>
  <si>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</si>
  <si>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</si>
  <si>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</si>
  <si>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</si>
  <si>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</si>
  <si>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</si>
  <si>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</si>
  <si>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</si>
  <si>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</si>
  <si>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</si>
  <si>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</si>
  <si>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</si>
  <si>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</si>
  <si>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</si>
  <si>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</si>
  <si>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</si>
  <si>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</si>
  <si>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</si>
  <si>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</si>
  <si>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</si>
  <si>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</si>
  <si>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</si>
  <si>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</si>
  <si>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</si>
  <si>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</si>
  <si>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</si>
  <si>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</si>
  <si>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</si>
  <si>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</si>
  <si>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</si>
  <si>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</si>
  <si>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</si>
  <si>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</si>
  <si>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</si>
  <si>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</si>
  <si>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</si>
  <si>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</si>
  <si>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</si>
  <si>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</si>
  <si>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</si>
  <si>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</si>
  <si>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</si>
  <si>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</si>
  <si>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</si>
  <si>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</si>
  <si>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</si>
  <si>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</si>
  <si>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</si>
  <si>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</si>
  <si>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</si>
  <si>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</si>
  <si>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</si>
  <si>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</si>
  <si>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</si>
  <si>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</si>
  <si>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</si>
  <si>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</si>
  <si>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</si>
  <si>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</si>
  <si>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</si>
  <si>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</si>
  <si>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</si>
  <si>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</si>
  <si>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</si>
  <si>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</si>
  <si>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</si>
  <si>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</si>
  <si>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</si>
  <si>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</si>
  <si>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</si>
  <si>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</si>
  <si>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</si>
  <si>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</si>
  <si>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</si>
  <si>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</si>
  <si>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</si>
  <si>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</si>
  <si>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</si>
  <si>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</si>
  <si>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</si>
  <si>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</si>
  <si>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</si>
  <si>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</si>
  <si>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</si>
  <si>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</si>
  <si>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</si>
  <si>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</si>
  <si>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</si>
  <si>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</si>
  <si>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</si>
  <si>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</si>
  <si>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</si>
  <si>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</si>
  <si>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</si>
  <si>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</si>
  <si>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</si>
  <si>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</si>
  <si>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</si>
  <si>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</si>
  <si>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</si>
  <si>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</si>
  <si>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</si>
  <si>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</si>
  <si>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</si>
  <si>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</si>
  <si>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</si>
  <si>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</si>
  <si>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</si>
  <si>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</si>
  <si>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</si>
  <si>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</si>
  <si>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</si>
  <si>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</si>
  <si>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</si>
  <si>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</si>
  <si>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</si>
  <si>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</si>
  <si>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</si>
  <si>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</si>
  <si>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</si>
  <si>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</si>
  <si>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</si>
  <si>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</si>
  <si>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</si>
  <si>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</si>
  <si>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</si>
  <si>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</si>
  <si>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</si>
  <si>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</si>
  <si>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</si>
  <si>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</si>
  <si>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</si>
  <si>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</si>
  <si>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</si>
  <si>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</si>
  <si>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</si>
  <si>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</si>
  <si>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</si>
  <si>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</si>
  <si>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</si>
  <si>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</si>
  <si>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</si>
  <si>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</si>
  <si>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</si>
  <si>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</si>
  <si>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</si>
  <si>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</si>
  <si>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</si>
  <si>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</si>
  <si>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</si>
  <si>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</si>
  <si>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</si>
  <si>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</si>
  <si>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</si>
  <si>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</si>
  <si>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</si>
  <si>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</si>
  <si>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</si>
  <si>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</si>
  <si>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</si>
  <si>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</si>
  <si>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</si>
  <si>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</si>
  <si>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</si>
  <si>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</si>
  <si>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</si>
  <si>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</si>
  <si>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</si>
  <si>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</si>
  <si>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</si>
  <si>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</si>
  <si>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</si>
  <si>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</si>
  <si>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</si>
  <si>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</si>
  <si>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</si>
  <si>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</si>
  <si>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</si>
  <si>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</si>
  <si>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</si>
  <si>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</si>
  <si>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</si>
  <si>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</si>
  <si>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</si>
  <si>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</si>
  <si>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</si>
  <si>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</si>
  <si>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</si>
  <si>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</si>
  <si>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</si>
  <si>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</si>
  <si>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</si>
  <si>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</si>
  <si>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</si>
  <si>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</si>
  <si>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</si>
  <si>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</si>
  <si>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</si>
  <si>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</si>
  <si>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</si>
  <si>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</si>
  <si>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</si>
  <si>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</si>
  <si>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</si>
  <si>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</si>
  <si>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</si>
  <si>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</si>
  <si>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</si>
  <si>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</si>
  <si>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</si>
  <si>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</si>
  <si>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</si>
  <si>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</si>
  <si>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</si>
  <si>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</si>
  <si>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</si>
  <si>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</si>
  <si>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</si>
  <si>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</si>
  <si>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</si>
  <si>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</si>
  <si>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</si>
  <si>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</si>
  <si>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</si>
  <si>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</si>
  <si>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</si>
  <si>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</si>
  <si>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</si>
  <si>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</si>
  <si>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</si>
  <si>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</si>
  <si>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</si>
  <si>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</si>
  <si>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</si>
  <si>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</si>
  <si>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</si>
  <si>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</si>
  <si>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</si>
  <si>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</si>
  <si>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</si>
  <si>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</si>
  <si>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</si>
  <si>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</si>
  <si>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</si>
  <si>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</si>
  <si>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</si>
  <si>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</si>
  <si>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</si>
  <si>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</si>
  <si>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</si>
  <si>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</si>
  <si>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</si>
  <si>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</si>
  <si>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</si>
  <si>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</si>
  <si>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</si>
  <si>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</si>
  <si>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</si>
  <si>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</si>
  <si>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</si>
  <si>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</si>
  <si>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</si>
  <si>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</si>
  <si>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</si>
  <si>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</si>
  <si>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</si>
  <si>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</si>
  <si>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</si>
  <si>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</si>
  <si>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</si>
  <si>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</si>
  <si>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</si>
  <si>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</si>
  <si>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</si>
  <si>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</si>
  <si>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</si>
  <si>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</si>
  <si>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</si>
  <si>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</si>
  <si>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</si>
  <si>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</si>
  <si>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</si>
  <si>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</si>
  <si>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</si>
  <si>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</si>
  <si>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</si>
  <si>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</si>
  <si>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</si>
  <si>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</si>
  <si>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</si>
  <si>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</si>
  <si>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</si>
  <si>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</si>
  <si>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</si>
  <si>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</si>
  <si>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</si>
  <si>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</si>
  <si>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</si>
  <si>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</si>
  <si>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</si>
  <si>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</si>
  <si>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</si>
  <si>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</si>
  <si>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</si>
  <si>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</si>
  <si>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</si>
  <si>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</si>
  <si>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</si>
  <si>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</si>
  <si>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</si>
  <si>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</si>
  <si>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</si>
  <si>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</si>
  <si>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</si>
  <si>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</si>
  <si>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</si>
  <si>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</si>
  <si>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</si>
  <si>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</si>
  <si>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</si>
  <si>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</si>
  <si>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</si>
  <si>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</si>
  <si>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</si>
  <si>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</si>
  <si>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</si>
  <si>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</si>
  <si>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</si>
  <si>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</si>
  <si>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</si>
  <si>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</si>
  <si>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</si>
  <si>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</si>
  <si>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</si>
  <si>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</si>
  <si>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</si>
  <si>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</si>
  <si>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</si>
  <si>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</si>
  <si>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</si>
  <si>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</si>
  <si>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</si>
  <si>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</si>
  <si>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</si>
  <si>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</si>
  <si>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</si>
  <si>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</si>
  <si>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</si>
  <si>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</si>
  <si>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</si>
  <si>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</si>
  <si>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</si>
  <si>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</si>
  <si>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</si>
  <si>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</si>
  <si>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</si>
  <si>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</si>
  <si>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</si>
  <si>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</si>
  <si>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</si>
  <si>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</si>
  <si>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</si>
  <si>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</si>
  <si>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</si>
  <si>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</si>
  <si>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</si>
  <si>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</si>
  <si>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</si>
  <si>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</si>
  <si>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</si>
  <si>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</si>
  <si>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</si>
  <si>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</si>
  <si>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</si>
  <si>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</si>
  <si>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</si>
  <si>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</si>
  <si>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</si>
  <si>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</si>
  <si>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</si>
  <si>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</si>
  <si>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</si>
  <si>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</si>
  <si>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</si>
  <si>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</si>
  <si>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</si>
  <si>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</si>
  <si>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</si>
  <si>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</si>
  <si>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</si>
  <si>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</si>
  <si>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</si>
  <si>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</si>
  <si>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</si>
  <si>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</si>
  <si>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</si>
  <si>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</si>
  <si>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</si>
  <si>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</si>
  <si>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</si>
  <si>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</si>
  <si>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</si>
  <si>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</si>
  <si>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</si>
  <si>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</si>
  <si>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</si>
  <si>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</si>
  <si>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</si>
  <si>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</si>
  <si>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</si>
  <si>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</si>
  <si>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</si>
  <si>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</si>
  <si>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</si>
  <si>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</si>
  <si>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</si>
  <si>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</si>
  <si>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</si>
  <si>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</si>
  <si>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</si>
  <si>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</si>
  <si>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</si>
  <si>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</si>
  <si>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</si>
  <si>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</si>
  <si>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</si>
  <si>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</si>
  <si>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</si>
  <si>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</si>
  <si>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</si>
  <si>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</si>
  <si>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</si>
  <si>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</si>
  <si>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</si>
  <si>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</si>
  <si>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</si>
  <si>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</si>
  <si>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</si>
  <si>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</si>
  <si>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</si>
  <si>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</si>
  <si>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</si>
  <si>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</si>
  <si>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</si>
  <si>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</si>
  <si>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</si>
  <si>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</si>
  <si>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</si>
  <si>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</si>
  <si>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</si>
  <si>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</si>
  <si>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</si>
  <si>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</si>
  <si>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</si>
  <si>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</si>
  <si>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</si>
  <si>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</si>
  <si>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</si>
  <si>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</si>
  <si>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</si>
  <si>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</si>
  <si>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</si>
  <si>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</si>
  <si>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</si>
  <si>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</si>
  <si>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</si>
  <si>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</si>
  <si>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</si>
  <si>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</si>
  <si>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</si>
  <si>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</si>
  <si>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</si>
  <si>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</si>
  <si>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</si>
  <si>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</si>
  <si>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</si>
  <si>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</si>
  <si>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</si>
  <si>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</si>
  <si>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</si>
  <si>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</si>
  <si>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</si>
  <si>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</si>
  <si>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</si>
  <si>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</si>
  <si>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</si>
  <si>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</si>
  <si>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</si>
  <si>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</si>
  <si>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</si>
  <si>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</si>
  <si>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</si>
  <si>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</si>
  <si>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</si>
  <si>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</si>
  <si>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</si>
  <si>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</si>
  <si>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</si>
  <si>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</si>
  <si>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</si>
  <si>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</si>
  <si>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</si>
  <si>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</si>
  <si>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</si>
  <si>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</si>
  <si>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</si>
  <si>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</si>
  <si>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</si>
  <si>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</si>
  <si>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</si>
  <si>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</si>
  <si>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</si>
  <si>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</si>
  <si>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</si>
  <si>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</si>
  <si>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</si>
  <si>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</si>
  <si>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</si>
  <si>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</si>
  <si>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</si>
  <si>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</si>
  <si>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</si>
  <si>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</si>
  <si>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</si>
  <si>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</si>
  <si>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</si>
  <si>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</si>
  <si>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</si>
  <si>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</si>
  <si>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</si>
  <si>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</si>
  <si>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</si>
  <si>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</si>
  <si>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</si>
  <si>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</si>
  <si>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</si>
  <si>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</si>
  <si>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</si>
  <si>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</si>
  <si>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</si>
  <si>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</si>
  <si>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</si>
  <si>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</si>
  <si>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</si>
  <si>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</si>
  <si>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</si>
  <si>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</si>
  <si>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</si>
  <si>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</si>
  <si>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</si>
  <si>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</si>
  <si>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</si>
  <si>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</si>
  <si>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</si>
  <si>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</si>
  <si>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</si>
  <si>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</si>
  <si>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</si>
  <si>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</si>
  <si>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</si>
  <si>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</si>
  <si>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</si>
  <si>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</si>
  <si>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</si>
  <si>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</si>
  <si>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</si>
  <si>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</si>
  <si>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</si>
  <si>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</si>
  <si>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</si>
  <si>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</si>
  <si>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</si>
  <si>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</si>
  <si>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</si>
  <si>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</si>
  <si>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</si>
  <si>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</si>
  <si>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</si>
  <si>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</si>
  <si>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</si>
  <si>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</si>
  <si>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</si>
  <si>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</si>
  <si>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</si>
  <si>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</si>
  <si>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</si>
  <si>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</si>
  <si>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</si>
  <si>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</si>
  <si>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</si>
  <si>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</si>
  <si>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</si>
  <si>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</si>
  <si>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</si>
  <si>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</si>
  <si>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</si>
  <si>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</si>
  <si>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</si>
  <si>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</si>
  <si>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</si>
  <si>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</si>
  <si>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</si>
  <si>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</si>
  <si>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</si>
  <si>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</si>
  <si>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</si>
  <si>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</si>
  <si>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</si>
  <si>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</si>
  <si>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</si>
  <si>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</si>
  <si>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</si>
  <si>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</si>
  <si>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</si>
  <si>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</si>
  <si>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</si>
  <si>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</si>
  <si>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</si>
  <si>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</si>
  <si>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</si>
  <si>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</si>
  <si>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</si>
  <si>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</si>
  <si>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</si>
  <si>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</si>
  <si>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</si>
  <si>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</si>
  <si>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</si>
  <si>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</si>
  <si>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</si>
  <si>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</si>
  <si>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</si>
  <si>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</si>
  <si>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</si>
  <si>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</si>
  <si>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</si>
  <si>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</si>
  <si>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</si>
  <si>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</si>
  <si>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</si>
  <si>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</si>
  <si>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</si>
  <si>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</si>
  <si>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</si>
  <si>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</si>
  <si>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</si>
  <si>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</si>
  <si>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</si>
  <si>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</si>
  <si>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</si>
  <si>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</si>
  <si>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</si>
  <si>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</si>
  <si>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</si>
  <si>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</si>
  <si>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</si>
  <si>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</si>
  <si>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</si>
  <si>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</si>
  <si>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</si>
  <si>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</si>
  <si>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</si>
  <si>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</si>
  <si>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</si>
  <si>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</si>
  <si>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</si>
  <si>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</si>
  <si>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</si>
  <si>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</si>
  <si>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</si>
  <si>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</si>
  <si>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</si>
  <si>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</si>
  <si>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</si>
  <si>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</si>
  <si>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</si>
  <si>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</si>
  <si>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</si>
  <si>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</si>
  <si>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</si>
  <si>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</si>
  <si>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</si>
  <si>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</si>
  <si>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</si>
  <si>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</si>
  <si>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</si>
  <si>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</si>
  <si>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</si>
  <si>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</si>
  <si>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</si>
  <si>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</si>
  <si>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</si>
  <si>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</si>
  <si>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</si>
  <si>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</si>
  <si>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</si>
  <si>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</si>
  <si>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</si>
  <si>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</si>
  <si>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</si>
  <si>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</si>
  <si>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</si>
  <si>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</si>
  <si>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</si>
  <si>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</si>
  <si>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</si>
  <si>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</si>
  <si>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</si>
  <si>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</si>
  <si>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</si>
  <si>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</si>
  <si>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</si>
  <si>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</si>
  <si>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</si>
  <si>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</si>
  <si>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</si>
  <si>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</si>
  <si>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</si>
  <si>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</si>
  <si>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</si>
  <si>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</si>
  <si>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</si>
  <si>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</si>
  <si>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</si>
  <si>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</si>
  <si>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</si>
  <si>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</si>
  <si>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</si>
  <si>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</si>
  <si>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</si>
  <si>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</si>
  <si>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</si>
  <si>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</si>
  <si>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</si>
  <si>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</si>
  <si>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</si>
  <si>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</si>
  <si>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</si>
  <si>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</si>
  <si>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</si>
  <si>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</si>
  <si>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</si>
  <si>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</si>
  <si>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</si>
  <si>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</si>
  <si>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</si>
  <si>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</si>
  <si>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</si>
  <si>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</si>
  <si>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</si>
  <si>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</si>
  <si>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</si>
  <si>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</si>
  <si>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</si>
  <si>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</si>
  <si>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</si>
  <si>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</si>
  <si>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</si>
  <si>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</si>
  <si>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</si>
  <si>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</si>
  <si>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</si>
  <si>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</si>
  <si>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</si>
  <si>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</si>
  <si>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</si>
  <si>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</si>
  <si>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</si>
  <si>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</si>
  <si>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</si>
  <si>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</si>
  <si>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</si>
  <si>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</si>
  <si>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</si>
  <si>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</si>
  <si>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</si>
  <si>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</si>
  <si>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</si>
  <si>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</si>
  <si>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</si>
  <si>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</si>
  <si>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</si>
  <si>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</si>
  <si>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</si>
  <si>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</si>
  <si>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</si>
  <si>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</si>
  <si>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</si>
  <si>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</si>
  <si>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</si>
  <si>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</si>
  <si>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</si>
  <si>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</si>
  <si>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</si>
  <si>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</si>
  <si>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</si>
  <si>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</si>
  <si>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</si>
  <si>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</si>
  <si>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</si>
  <si>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</si>
  <si>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</si>
  <si>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</si>
  <si>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</si>
  <si>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</si>
  <si>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</si>
  <si>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</si>
  <si>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</si>
  <si>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</si>
  <si>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</si>
  <si>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</si>
  <si>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</si>
  <si>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</si>
  <si>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</si>
  <si>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</si>
  <si>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</si>
  <si>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</si>
  <si>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</si>
  <si>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</si>
  <si>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</si>
  <si>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</si>
  <si>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</si>
  <si>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</si>
  <si>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</si>
  <si>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</si>
  <si>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</si>
  <si>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</si>
  <si>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</si>
  <si>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</si>
  <si>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</si>
  <si>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</si>
  <si>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</si>
  <si>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</si>
  <si>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</si>
  <si>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</si>
  <si>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</si>
  <si>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</si>
  <si>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</si>
  <si>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</si>
  <si>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</si>
  <si>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</si>
  <si>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</si>
  <si>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</si>
  <si>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</si>
  <si>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</si>
  <si>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</si>
  <si>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</si>
  <si>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</si>
  <si>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</si>
  <si>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</si>
  <si>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</si>
  <si>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</si>
  <si>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</si>
  <si>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</si>
  <si>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</si>
  <si>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</si>
  <si>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</si>
  <si>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</si>
  <si>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</si>
  <si>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</si>
  <si>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</si>
  <si>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</si>
  <si>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</si>
  <si>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</si>
  <si>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</si>
  <si>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</si>
  <si>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</si>
  <si>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</si>
  <si>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</si>
  <si>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</si>
  <si>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</si>
  <si>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</si>
  <si>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</si>
  <si>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</si>
  <si>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</si>
  <si>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</si>
  <si>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</si>
  <si>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</si>
  <si>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</si>
  <si>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</si>
  <si>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</si>
  <si>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</si>
  <si>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</si>
  <si>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</si>
  <si>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</si>
  <si>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</si>
  <si>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</si>
  <si>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</si>
  <si>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</si>
  <si>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</si>
  <si>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</si>
  <si>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</si>
  <si>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</si>
  <si>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</si>
  <si>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</si>
  <si>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</si>
  <si>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</si>
  <si>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</si>
  <si>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</si>
  <si>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</si>
  <si>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</si>
  <si>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</si>
  <si>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</si>
  <si>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</si>
  <si>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</si>
  <si>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</si>
  <si>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</si>
  <si>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</si>
  <si>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</si>
  <si>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</si>
  <si>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</si>
  <si>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</si>
  <si>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</si>
  <si>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</si>
  <si>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</si>
  <si>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</si>
  <si>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</si>
  <si>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</si>
  <si>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</si>
  <si>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</si>
  <si>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</si>
  <si>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</si>
  <si>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</si>
  <si>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</si>
  <si>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</si>
  <si>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</si>
  <si>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</si>
  <si>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</si>
  <si>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</si>
  <si>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</si>
  <si>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</si>
  <si>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</si>
  <si>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</si>
  <si>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</si>
  <si>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</si>
  <si>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</si>
  <si>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</si>
  <si>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</si>
  <si>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</si>
  <si>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</si>
  <si>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</si>
  <si>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</si>
  <si>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</si>
  <si>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</si>
  <si>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</si>
  <si>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</si>
  <si>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</si>
  <si>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</si>
  <si>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</si>
  <si>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</si>
  <si>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</si>
  <si>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</si>
  <si>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</si>
  <si>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</si>
  <si>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</si>
  <si>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</si>
  <si>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</si>
  <si>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</si>
  <si>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</si>
  <si>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</si>
  <si>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</si>
  <si>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</si>
  <si>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</si>
  <si>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</si>
  <si>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</si>
  <si>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</si>
  <si>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</si>
  <si>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</si>
  <si>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</si>
  <si>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</si>
  <si>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</si>
  <si>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</si>
  <si>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</si>
  <si>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</si>
  <si>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</si>
  <si>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</si>
  <si>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</si>
  <si>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</si>
  <si>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</si>
  <si>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</si>
  <si>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</si>
  <si>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</si>
  <si>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</si>
  <si>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</si>
  <si>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</si>
  <si>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</si>
  <si>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</si>
  <si>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</si>
  <si>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</si>
  <si>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</si>
  <si>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</si>
  <si>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</si>
  <si>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</si>
  <si>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</si>
  <si>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</si>
  <si>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</si>
  <si>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</si>
  <si>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</si>
  <si>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</si>
  <si>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</si>
  <si>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</si>
  <si>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</si>
  <si>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</si>
  <si>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</si>
  <si>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</si>
  <si>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</si>
  <si>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</si>
  <si>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</si>
  <si>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</si>
  <si>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</si>
  <si>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</si>
  <si>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</si>
  <si>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</si>
  <si>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</si>
  <si>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</si>
  <si>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</si>
  <si>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</si>
  <si>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</si>
  <si>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</si>
  <si>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</si>
  <si>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</si>
  <si>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</si>
  <si>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</si>
  <si>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</si>
  <si>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</si>
  <si>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</si>
  <si>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</si>
  <si>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</si>
  <si>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</si>
  <si>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</si>
  <si>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</si>
  <si>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</si>
  <si>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</si>
  <si>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</si>
  <si>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</si>
  <si>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</si>
  <si>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</si>
  <si>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</si>
  <si>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</si>
  <si>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</si>
  <si>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</si>
  <si>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</si>
  <si>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</si>
  <si>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</si>
  <si>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</si>
  <si>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</si>
  <si>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</si>
  <si>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</si>
  <si>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</si>
  <si>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</si>
  <si>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</si>
  <si>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</si>
  <si>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</si>
  <si>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</si>
  <si>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</si>
  <si>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</si>
  <si>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</si>
  <si>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</si>
  <si>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</si>
  <si>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</si>
  <si>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</si>
  <si>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</si>
  <si>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</si>
  <si>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</si>
  <si>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</si>
  <si>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</si>
  <si>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</si>
  <si>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</si>
  <si>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</si>
  <si>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</si>
  <si>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</si>
  <si>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</si>
  <si>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</si>
  <si>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</si>
  <si>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</si>
  <si>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</si>
  <si>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</si>
  <si>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</si>
  <si>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</si>
  <si>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</si>
  <si>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</si>
  <si>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</si>
  <si>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</si>
  <si>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</si>
  <si>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</si>
  <si>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</si>
  <si>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</si>
  <si>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</si>
  <si>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</si>
  <si>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</si>
  <si>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</si>
  <si>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</si>
  <si>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</si>
  <si>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</si>
  <si>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</si>
  <si>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</si>
  <si>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</si>
  <si>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</si>
  <si>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</si>
  <si>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</si>
  <si>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</si>
  <si>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</si>
  <si>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</si>
  <si>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</si>
  <si>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</si>
  <si>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</si>
  <si>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</si>
  <si>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</si>
  <si>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</si>
  <si>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</si>
  <si>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</si>
  <si>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</si>
  <si>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</si>
  <si>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</si>
  <si>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</si>
  <si>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</si>
  <si>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</si>
  <si>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</si>
  <si>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</si>
  <si>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</si>
  <si>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</si>
  <si>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</si>
  <si>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</si>
  <si>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</si>
  <si>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</si>
  <si>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</si>
  <si>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</si>
  <si>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</si>
  <si>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</si>
  <si>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</si>
  <si>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</si>
  <si>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</si>
  <si>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</si>
  <si>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</si>
  <si>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</si>
  <si>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</si>
  <si>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</si>
  <si>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</si>
  <si>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</si>
  <si>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</si>
  <si>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</si>
  <si>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</si>
  <si>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</si>
  <si>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</si>
  <si>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</si>
  <si>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</si>
  <si>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</si>
  <si>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</si>
  <si>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</si>
  <si>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</si>
  <si>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</si>
  <si>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</si>
  <si>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</si>
  <si>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</si>
  <si>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</si>
  <si>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</si>
  <si>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</si>
  <si>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</si>
  <si>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</si>
  <si>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</si>
  <si>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</si>
  <si>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</si>
  <si>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</si>
  <si>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</si>
  <si>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</si>
  <si>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</si>
  <si>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</si>
  <si>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</si>
  <si>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</si>
  <si>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</si>
  <si>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</si>
  <si>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</si>
  <si>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</si>
  <si>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</si>
  <si>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</si>
  <si>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</si>
  <si>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</si>
  <si>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</si>
  <si>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</si>
  <si>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</si>
  <si>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</si>
  <si>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</si>
  <si>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</si>
  <si>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</si>
  <si>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</si>
  <si>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</si>
  <si>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</si>
  <si>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</si>
  <si>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</si>
  <si>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</si>
  <si>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</si>
  <si>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</si>
  <si>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</si>
  <si>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</si>
  <si>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</si>
  <si>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</si>
  <si>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</si>
  <si>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</si>
  <si>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</si>
  <si>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</si>
  <si>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</si>
  <si>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</si>
  <si>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</si>
  <si>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</si>
  <si>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</si>
  <si>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</si>
  <si>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</si>
  <si>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</si>
  <si>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</si>
  <si>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</si>
  <si>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</si>
  <si>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</si>
  <si>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</si>
  <si>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</si>
  <si>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</si>
  <si>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</si>
  <si>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</si>
  <si>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</si>
  <si>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</si>
  <si>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</si>
  <si>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</si>
  <si>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</si>
  <si>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</si>
  <si>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</si>
  <si>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</si>
  <si>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</si>
  <si>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</si>
  <si>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</si>
  <si>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</si>
  <si>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</si>
  <si>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</si>
  <si>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</si>
  <si>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</si>
  <si>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</si>
  <si>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</si>
  <si>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</si>
  <si>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</si>
  <si>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</si>
  <si>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</si>
  <si>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</si>
  <si>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</si>
  <si>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</si>
  <si>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</si>
  <si>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</si>
  <si>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</si>
  <si>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</si>
  <si>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</si>
  <si>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</si>
  <si>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</si>
  <si>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</si>
  <si>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</si>
  <si>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</si>
  <si>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</si>
  <si>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</si>
  <si>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</si>
  <si>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</si>
  <si>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</si>
  <si>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</si>
  <si>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</si>
  <si>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</si>
  <si>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</si>
  <si>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</si>
  <si>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</si>
  <si>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</si>
  <si>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</si>
  <si>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</si>
  <si>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</si>
  <si>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</si>
  <si>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</si>
  <si>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</si>
  <si>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</si>
  <si>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</si>
  <si>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</si>
  <si>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</si>
  <si>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</si>
  <si>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</si>
  <si>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</si>
  <si>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</si>
  <si>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</si>
  <si>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</si>
  <si>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</si>
  <si>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</si>
  <si>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</si>
  <si>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</si>
  <si>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</si>
  <si>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</si>
  <si>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</si>
  <si>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</si>
  <si>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</si>
  <si>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</si>
  <si>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</si>
  <si>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</si>
  <si>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</si>
  <si>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</si>
  <si>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</si>
  <si>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</si>
  <si>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</si>
  <si>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</si>
  <si>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</si>
  <si>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</si>
  <si>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</si>
  <si>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</si>
  <si>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</si>
  <si>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</si>
  <si>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</si>
  <si>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</si>
  <si>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</si>
  <si>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</si>
  <si>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</si>
  <si>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</si>
  <si>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</si>
  <si>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</si>
  <si>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</si>
  <si>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</si>
  <si>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</si>
  <si>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</si>
  <si>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</si>
  <si>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</si>
  <si>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</si>
  <si>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</si>
  <si>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</si>
  <si>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</si>
  <si>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</si>
  <si>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</si>
  <si>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</si>
  <si>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</si>
  <si>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</si>
  <si>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</si>
  <si>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</si>
  <si>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</si>
  <si>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</si>
  <si>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</si>
  <si>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</si>
  <si>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</si>
  <si>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</si>
  <si>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</si>
  <si>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</si>
  <si>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</si>
  <si>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</si>
  <si>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</si>
  <si>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</si>
  <si>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</si>
  <si>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</si>
  <si>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</si>
  <si>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</si>
  <si>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</si>
  <si>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</si>
  <si>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</si>
  <si>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</si>
  <si>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</si>
  <si>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</si>
  <si>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</si>
  <si>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</si>
  <si>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</si>
  <si>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</si>
  <si>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</si>
  <si>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</si>
  <si>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</si>
  <si>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</si>
  <si>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</si>
  <si>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</si>
  <si>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</si>
  <si>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</si>
  <si>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</si>
  <si>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</si>
  <si>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</si>
  <si>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</si>
  <si>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</si>
  <si>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</si>
  <si>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</si>
  <si>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</si>
  <si>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</si>
  <si>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</si>
  <si>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</si>
  <si>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</si>
  <si>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</si>
  <si>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</si>
  <si>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</si>
  <si>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</si>
  <si>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</si>
  <si>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</si>
  <si>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</si>
  <si>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</si>
  <si>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</si>
  <si>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</si>
  <si>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</si>
  <si>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</si>
  <si>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</si>
  <si>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</si>
  <si>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</si>
  <si>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</si>
  <si>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</si>
  <si>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</si>
  <si>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</si>
  <si>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</si>
  <si>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</si>
  <si>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</si>
  <si>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</si>
  <si>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</si>
  <si>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</si>
  <si>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</si>
  <si>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</si>
  <si>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</si>
  <si>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</si>
  <si>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</si>
  <si>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</si>
  <si>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</si>
  <si>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</si>
  <si>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</si>
  <si>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</si>
  <si>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</si>
  <si>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</si>
  <si>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</si>
  <si>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</si>
  <si>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</si>
  <si>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</si>
  <si>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</si>
  <si>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</si>
  <si>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</si>
  <si>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</si>
  <si>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</si>
  <si>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</si>
  <si>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</si>
  <si>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</si>
  <si>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</si>
  <si>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</si>
  <si>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</si>
  <si>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</si>
  <si>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</si>
  <si>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</si>
  <si>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</si>
  <si>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</si>
  <si>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</si>
  <si>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</si>
  <si>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</si>
  <si>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</si>
  <si>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</si>
  <si>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</si>
  <si>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</si>
  <si>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</si>
  <si>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</si>
  <si>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</si>
  <si>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</si>
  <si>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</si>
  <si>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</si>
  <si>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</si>
  <si>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</si>
  <si>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</si>
  <si>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</si>
  <si>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</si>
  <si>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</si>
  <si>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</si>
  <si>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</si>
  <si>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</si>
  <si>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</si>
  <si>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</si>
  <si>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</si>
  <si>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</si>
  <si>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</si>
  <si>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</si>
  <si>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</si>
  <si>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</si>
  <si>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</si>
  <si>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</si>
  <si>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</si>
  <si>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</si>
  <si>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</si>
  <si>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</si>
  <si>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</si>
  <si>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</si>
  <si>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</si>
  <si>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</si>
  <si>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</si>
  <si>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</si>
  <si>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</si>
  <si>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</si>
  <si>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</si>
  <si>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</si>
  <si>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</si>
  <si>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</si>
  <si>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</si>
  <si>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</si>
  <si>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</si>
  <si>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</si>
  <si>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</si>
  <si>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</si>
  <si>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</si>
  <si>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</si>
  <si>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</si>
  <si>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</si>
  <si>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</si>
  <si>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</si>
  <si>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</si>
  <si>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</si>
  <si>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</si>
  <si>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</si>
  <si>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</si>
  <si>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</si>
  <si>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</si>
  <si>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</si>
  <si>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</si>
  <si>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</si>
  <si>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</si>
  <si>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</si>
  <si>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</si>
  <si>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</si>
  <si>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</si>
  <si>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</si>
  <si>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</si>
  <si>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</si>
  <si>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</si>
  <si>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</si>
  <si>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</si>
  <si>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</si>
  <si>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</si>
  <si>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</si>
  <si>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</si>
  <si>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</si>
  <si>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</si>
  <si>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</si>
  <si>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</si>
  <si>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</si>
  <si>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</si>
  <si>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</si>
  <si>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</si>
  <si>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</si>
  <si>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</si>
  <si>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</si>
  <si>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</si>
  <si>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</si>
  <si>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</si>
  <si>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</si>
  <si>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</si>
  <si>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</si>
  <si>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</si>
  <si>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</si>
  <si>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</si>
  <si>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</si>
  <si>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</si>
  <si>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</si>
  <si>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</si>
  <si>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</si>
  <si>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</si>
  <si>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</si>
  <si>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</si>
  <si>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</si>
  <si>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</si>
  <si>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</si>
  <si>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</si>
  <si>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</si>
  <si>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</si>
  <si>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</si>
  <si>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</si>
  <si>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</si>
  <si>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</si>
  <si>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</si>
  <si>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</si>
  <si>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</si>
  <si>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</si>
  <si>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</si>
  <si>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</si>
  <si>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</si>
  <si>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</si>
  <si>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</si>
  <si>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</si>
  <si>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</si>
  <si>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</si>
  <si>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</si>
  <si>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</si>
  <si>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</si>
  <si>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</si>
  <si>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</si>
  <si>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</si>
  <si>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</si>
  <si>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</si>
  <si>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</si>
  <si>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</si>
  <si>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</si>
  <si>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</si>
  <si>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</si>
  <si>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</si>
  <si>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</si>
  <si>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</si>
  <si>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</si>
  <si>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</si>
  <si>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</si>
  <si>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</si>
  <si>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</si>
  <si>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</si>
  <si>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</si>
  <si>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</si>
  <si>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</si>
  <si>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</si>
  <si>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</si>
  <si>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</si>
  <si>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</si>
  <si>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</si>
  <si>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</si>
  <si>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</si>
  <si>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</si>
  <si>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</si>
  <si>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</si>
  <si>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</si>
  <si>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</si>
  <si>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</si>
  <si>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</si>
  <si>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</si>
  <si>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</si>
  <si>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</si>
  <si>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</si>
  <si>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</si>
  <si>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</si>
  <si>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</si>
  <si>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</si>
  <si>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</si>
  <si>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</si>
  <si>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</si>
  <si>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</si>
  <si>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</si>
  <si>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</si>
  <si>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</si>
  <si>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</si>
  <si>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</si>
  <si>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</si>
  <si>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</si>
  <si>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</si>
  <si>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</si>
  <si>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</si>
  <si>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</si>
  <si>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</si>
  <si>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</si>
  <si>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</si>
  <si>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</si>
  <si>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</si>
  <si>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</si>
  <si>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</si>
  <si>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</si>
  <si>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</si>
  <si>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</si>
  <si>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</si>
  <si>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</si>
  <si>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</si>
  <si>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</si>
  <si>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</si>
  <si>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</si>
  <si>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</si>
  <si>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</si>
  <si>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</si>
  <si>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</si>
  <si>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</si>
  <si>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</si>
  <si>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</si>
  <si>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</si>
  <si>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</si>
  <si>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</si>
  <si>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</si>
  <si>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</si>
  <si>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</si>
  <si>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</si>
  <si>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</si>
  <si>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</si>
  <si>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</si>
  <si>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</si>
  <si>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</si>
  <si>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</si>
  <si>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</si>
  <si>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</si>
  <si>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</si>
  <si>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</si>
  <si>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</si>
  <si>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</si>
  <si>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</si>
  <si>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</si>
  <si>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</si>
  <si>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</si>
  <si>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</si>
  <si>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</si>
  <si>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</si>
  <si>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</si>
  <si>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</si>
  <si>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</si>
  <si>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</si>
  <si>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</si>
  <si>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</si>
  <si>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</si>
  <si>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</si>
  <si>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</si>
  <si>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</si>
  <si>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</si>
  <si>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</si>
  <si>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</si>
  <si>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</si>
  <si>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</si>
  <si>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</si>
  <si>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</si>
  <si>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</si>
  <si>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</si>
  <si>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</si>
  <si>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</si>
  <si>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</si>
  <si>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</si>
  <si>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</si>
  <si>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</si>
  <si>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</si>
  <si>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</si>
  <si>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</si>
  <si>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</si>
  <si>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</si>
  <si>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</si>
  <si>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</si>
  <si>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</si>
  <si>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</si>
  <si>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</si>
  <si>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</si>
  <si>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</si>
  <si>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</si>
  <si>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</si>
  <si>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</si>
  <si>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</si>
  <si>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</si>
  <si>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</si>
  <si>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</si>
  <si>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</si>
  <si>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</si>
  <si>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</si>
  <si>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</si>
  <si>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</si>
  <si>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</si>
  <si>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</si>
  <si>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</si>
  <si>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</si>
  <si>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</si>
  <si>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</si>
  <si>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</si>
  <si>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</si>
  <si>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</si>
  <si>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</si>
  <si>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</si>
  <si>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</si>
  <si>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</si>
  <si>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</si>
  <si>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</si>
  <si>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</si>
  <si>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</si>
  <si>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</si>
  <si>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</si>
  <si>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</si>
  <si>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</si>
  <si>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</si>
  <si>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</si>
  <si>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</si>
  <si>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</si>
  <si>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</si>
  <si>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</si>
  <si>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</si>
  <si>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</si>
  <si>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</si>
  <si>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</si>
  <si>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</si>
  <si>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</si>
  <si>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</si>
  <si>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</si>
  <si>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</si>
  <si>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</si>
  <si>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</si>
  <si>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</si>
  <si>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</si>
  <si>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</si>
  <si>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</si>
  <si>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</si>
  <si>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</si>
  <si>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</si>
  <si>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</si>
  <si>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</si>
  <si>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</si>
  <si>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</si>
  <si>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</si>
  <si>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</si>
  <si>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</si>
  <si>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</si>
  <si>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</si>
  <si>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</si>
  <si>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</si>
  <si>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</si>
  <si>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</si>
  <si>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</si>
  <si>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</si>
  <si>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</si>
  <si>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</si>
  <si>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</si>
  <si>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</si>
  <si>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</si>
  <si>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</si>
  <si>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</si>
  <si>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</si>
  <si>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</si>
  <si>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</si>
  <si>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</si>
  <si>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</si>
  <si>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</si>
  <si>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</si>
  <si>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</si>
  <si>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</si>
  <si>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</si>
  <si>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</si>
  <si>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</si>
  <si>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</si>
  <si>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</si>
  <si>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</si>
  <si>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</si>
  <si>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</si>
  <si>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</si>
  <si>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</si>
  <si>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</si>
  <si>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</si>
  <si>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</si>
  <si>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</si>
  <si>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</si>
  <si>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</si>
  <si>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</si>
  <si>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</si>
  <si>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</si>
  <si>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</si>
  <si>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</si>
  <si>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</si>
  <si>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</si>
  <si>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</si>
  <si>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</si>
  <si>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</si>
  <si>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</si>
  <si>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</si>
  <si>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</si>
  <si>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</si>
  <si>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</si>
  <si>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</si>
  <si>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</si>
  <si>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</si>
  <si>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</si>
  <si>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</si>
  <si>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</si>
  <si>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</si>
  <si>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</si>
  <si>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</si>
  <si>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</si>
  <si>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</si>
  <si>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</si>
  <si>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</si>
  <si>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</si>
  <si>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</si>
  <si>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</si>
  <si>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</si>
  <si>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</si>
  <si>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</si>
  <si>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</si>
  <si>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</si>
  <si>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</si>
  <si>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</si>
  <si>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</si>
  <si>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</si>
  <si>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</si>
  <si>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</si>
  <si>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</si>
  <si>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</si>
  <si>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</si>
  <si>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</si>
  <si>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</si>
  <si>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</si>
  <si>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</si>
  <si>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</si>
  <si>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</si>
  <si>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</si>
  <si>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</si>
  <si>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</si>
  <si>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</si>
  <si>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</si>
  <si>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</si>
  <si>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</si>
  <si>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</si>
  <si>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</si>
  <si>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</si>
  <si>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</si>
  <si>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</si>
  <si>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</si>
  <si>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</si>
  <si>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</si>
  <si>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</si>
  <si>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</si>
  <si>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</si>
  <si>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</si>
  <si>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</si>
  <si>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</si>
  <si>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</si>
  <si>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</si>
  <si>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</si>
  <si>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</si>
  <si>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</si>
  <si>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</si>
  <si>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</si>
  <si>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</si>
  <si>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</si>
  <si>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</si>
  <si>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</si>
  <si>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</si>
  <si>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</si>
  <si>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</si>
  <si>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</si>
  <si>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</si>
  <si>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</si>
  <si>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</si>
  <si>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</si>
  <si>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</si>
  <si>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</si>
  <si>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</si>
  <si>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</si>
  <si>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</si>
  <si>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</si>
  <si>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</si>
  <si>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</si>
  <si>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</si>
  <si>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</si>
  <si>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</si>
  <si>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</si>
  <si>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</si>
  <si>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</si>
  <si>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</si>
  <si>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</si>
  <si>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</si>
  <si>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</si>
  <si>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</si>
  <si>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</si>
  <si>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</si>
  <si>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</si>
  <si>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</si>
  <si>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</si>
  <si>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</si>
  <si>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</si>
  <si>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</si>
  <si>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</si>
  <si>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</si>
  <si>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</si>
  <si>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</si>
  <si>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</si>
  <si>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</si>
  <si>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</si>
  <si>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</si>
  <si>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</si>
  <si>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</si>
  <si>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</si>
  <si>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</si>
  <si>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</si>
  <si>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</si>
  <si>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</si>
  <si>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</si>
  <si>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</si>
  <si>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</si>
  <si>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</si>
  <si>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</si>
  <si>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</si>
  <si>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</si>
  <si>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</si>
  <si>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</si>
  <si>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</si>
  <si>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</si>
  <si>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</si>
  <si>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</si>
  <si>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</si>
  <si>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</si>
  <si>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</si>
  <si>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</si>
  <si>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</si>
  <si>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</si>
  <si>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</si>
  <si>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</si>
  <si>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</si>
  <si>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</si>
  <si>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</si>
  <si>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</si>
  <si>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</si>
  <si>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</si>
  <si>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</si>
  <si>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</si>
  <si>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</si>
  <si>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</si>
  <si>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</si>
  <si>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</si>
  <si>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</si>
  <si>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</si>
  <si>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</si>
  <si>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</si>
  <si>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</si>
  <si>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</si>
  <si>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</si>
  <si>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</si>
  <si>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</si>
  <si>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</si>
  <si>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</si>
  <si>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</si>
  <si>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</si>
  <si>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</si>
  <si>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</si>
  <si>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</si>
  <si>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</si>
  <si>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</si>
  <si>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</si>
  <si>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</si>
  <si>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</si>
  <si>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</si>
  <si>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</si>
  <si>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</si>
  <si>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</si>
  <si>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</si>
  <si>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</si>
  <si>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</si>
  <si>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</si>
  <si>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</si>
  <si>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</si>
  <si>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</si>
  <si>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</si>
  <si>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</si>
  <si>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</si>
  <si>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</si>
  <si>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</si>
  <si>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</si>
  <si>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</si>
  <si>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</si>
  <si>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</si>
  <si>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</si>
  <si>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</si>
  <si>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</si>
  <si>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</si>
  <si>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</si>
  <si>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</si>
  <si>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</si>
  <si>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</si>
  <si>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</si>
  <si>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</si>
  <si>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</si>
  <si>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</si>
  <si>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</si>
  <si>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</si>
  <si>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</si>
  <si>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</si>
  <si>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</si>
  <si>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</si>
  <si>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</si>
  <si>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</si>
  <si>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</si>
  <si>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</si>
  <si>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</si>
  <si>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</si>
  <si>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</si>
  <si>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</si>
  <si>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</si>
  <si>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</si>
  <si>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</si>
  <si>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</si>
  <si>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</si>
  <si>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</si>
  <si>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</si>
  <si>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</si>
  <si>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</si>
  <si>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</si>
  <si>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</si>
  <si>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</si>
  <si>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</si>
  <si>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</si>
  <si>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</si>
  <si>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</si>
  <si>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</si>
  <si>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</si>
  <si>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</si>
  <si>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</si>
  <si>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</si>
  <si>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</si>
  <si>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</si>
  <si>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</si>
  <si>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</si>
  <si>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</si>
  <si>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</si>
  <si>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</si>
  <si>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</si>
  <si>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</si>
  <si>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</si>
  <si>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</si>
  <si>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</si>
  <si>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</si>
  <si>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</si>
  <si>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</si>
  <si>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</si>
  <si>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</si>
  <si>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</si>
  <si>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</si>
  <si>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</si>
  <si>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</si>
  <si>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</si>
  <si>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</si>
  <si>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</si>
  <si>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</si>
  <si>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</si>
  <si>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</si>
  <si>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</si>
  <si>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</si>
  <si>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</si>
  <si>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</si>
  <si>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</si>
  <si>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</si>
  <si>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</si>
  <si>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</si>
  <si>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</si>
  <si>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</si>
  <si>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</si>
  <si>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</si>
  <si>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</si>
  <si>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</si>
  <si>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</si>
  <si>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</si>
  <si>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</si>
  <si>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</si>
  <si>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</si>
  <si>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</si>
  <si>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</si>
  <si>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</si>
  <si>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</si>
  <si>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</si>
  <si>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</si>
  <si>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</si>
  <si>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</si>
  <si>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</si>
  <si>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</si>
  <si>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</si>
  <si>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</si>
  <si>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</si>
  <si>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</si>
  <si>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</si>
  <si>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</si>
  <si>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</si>
  <si>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</si>
  <si>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</si>
  <si>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</si>
  <si>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</si>
  <si>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</si>
  <si>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</si>
  <si>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</si>
  <si>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</si>
  <si>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</si>
  <si>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</si>
  <si>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</si>
  <si>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</si>
  <si>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</si>
  <si>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</si>
  <si>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</si>
  <si>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</si>
  <si>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</si>
  <si>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</si>
  <si>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</si>
  <si>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</si>
  <si>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</si>
  <si>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</si>
  <si>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</si>
  <si>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</si>
  <si>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</si>
  <si>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</si>
  <si>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</si>
  <si>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</si>
  <si>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</si>
  <si>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</si>
  <si>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</si>
  <si>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</si>
  <si>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</si>
  <si>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</si>
  <si>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</si>
  <si>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</si>
  <si>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</si>
  <si>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</si>
  <si>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</si>
  <si>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</si>
  <si>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</si>
  <si>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</si>
  <si>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</si>
  <si>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</si>
  <si>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</si>
  <si>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</si>
  <si>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</si>
  <si>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</si>
  <si>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</si>
  <si>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</si>
  <si>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</si>
  <si>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</si>
  <si>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</si>
  <si>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</si>
  <si>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</si>
  <si>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</si>
  <si>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</si>
  <si>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</si>
  <si>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</si>
  <si>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</si>
  <si>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</si>
  <si>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</si>
  <si>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</si>
  <si>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</si>
  <si>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</si>
  <si>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</si>
  <si>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</si>
  <si>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</si>
  <si>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</si>
  <si>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</si>
  <si>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</si>
  <si>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</si>
  <si>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</si>
  <si>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</si>
  <si>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</si>
  <si>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</si>
  <si>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</si>
  <si>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</si>
  <si>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</si>
  <si>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</si>
  <si>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</si>
  <si>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</si>
  <si>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</si>
  <si>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</si>
  <si>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</si>
  <si>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</si>
  <si>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</si>
  <si>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</si>
  <si>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</si>
  <si>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</si>
  <si>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</si>
  <si>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</si>
  <si>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</si>
  <si>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</si>
  <si>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</si>
  <si>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</si>
  <si>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</si>
  <si>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</si>
  <si>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</si>
  <si>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</si>
  <si>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</si>
  <si>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</si>
  <si>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</si>
  <si>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</si>
  <si>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</si>
  <si>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</si>
  <si>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</si>
  <si>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</si>
  <si>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</si>
  <si>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</si>
  <si>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</si>
  <si>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</si>
  <si>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</si>
  <si>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</si>
  <si>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</si>
  <si>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</si>
  <si>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</si>
  <si>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</si>
  <si>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</si>
  <si>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</si>
  <si>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</si>
  <si>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</si>
  <si>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</si>
  <si>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</si>
  <si>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</si>
  <si>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</si>
  <si>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</si>
  <si>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</si>
  <si>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</si>
  <si>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</si>
  <si>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</si>
  <si>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</si>
  <si>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</si>
  <si>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</si>
  <si>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</si>
  <si>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</si>
  <si>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</si>
  <si>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</si>
  <si>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</si>
  <si>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</si>
  <si>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</si>
  <si>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</si>
  <si>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</si>
  <si>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</si>
  <si>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</si>
  <si>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</si>
  <si>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</si>
  <si>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</si>
  <si>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</si>
  <si>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</si>
  <si>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</si>
  <si>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</si>
  <si>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</si>
  <si>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</si>
  <si>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</si>
  <si>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</si>
  <si>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</si>
  <si>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</si>
  <si>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</si>
  <si>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</si>
  <si>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</si>
  <si>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</si>
  <si>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</si>
  <si>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</si>
  <si>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</si>
  <si>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</si>
  <si>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</si>
  <si>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</si>
  <si>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</si>
  <si>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</si>
  <si>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</si>
  <si>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</si>
  <si>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</si>
  <si>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</si>
  <si>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</si>
  <si>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</si>
  <si>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</si>
  <si>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</si>
  <si>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</si>
  <si>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</si>
  <si>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</si>
  <si>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</si>
  <si>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</si>
  <si>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</si>
  <si>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</si>
  <si>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</si>
  <si>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</si>
  <si>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</si>
  <si>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</si>
  <si>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</si>
  <si>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</si>
  <si>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</si>
  <si>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</si>
  <si>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</si>
  <si>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</si>
  <si>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</si>
  <si>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</si>
  <si>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</si>
  <si>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</si>
  <si>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</si>
  <si>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</si>
  <si>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</si>
  <si>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</si>
  <si>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</si>
  <si>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</si>
  <si>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</si>
  <si>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</si>
  <si>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</si>
  <si>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</si>
  <si>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</si>
  <si>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</si>
  <si>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</si>
  <si>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</si>
  <si>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</si>
  <si>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</si>
  <si>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</si>
  <si>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</si>
  <si>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</si>
  <si>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</si>
  <si>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</si>
  <si>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</si>
  <si>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</si>
  <si>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</si>
  <si>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</si>
  <si>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</si>
  <si>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</si>
  <si>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</si>
  <si>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</si>
  <si>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</si>
  <si>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</si>
  <si>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</si>
  <si>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</si>
  <si>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</si>
  <si>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</si>
  <si>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</si>
  <si>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</si>
  <si>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</si>
  <si>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</si>
  <si>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</si>
  <si>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</si>
  <si>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</si>
  <si>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</si>
  <si>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</si>
  <si>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</si>
  <si>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</si>
  <si>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</si>
  <si>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</si>
  <si>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</si>
  <si>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</si>
  <si>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</si>
  <si>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</si>
  <si>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</si>
  <si>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</si>
  <si>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</si>
  <si>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</si>
  <si>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</si>
  <si>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</si>
  <si>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</si>
  <si>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</si>
  <si>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</si>
  <si>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</si>
  <si>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</si>
  <si>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</si>
  <si>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</si>
  <si>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</si>
  <si>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</si>
  <si>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</si>
  <si>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</si>
  <si>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</si>
  <si>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</si>
  <si>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</si>
  <si>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</si>
  <si>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</si>
  <si>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</si>
  <si>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</si>
  <si>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</si>
  <si>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</si>
  <si>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</si>
  <si>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</si>
  <si>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</si>
  <si>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</si>
  <si>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</si>
  <si>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</si>
  <si>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</si>
  <si>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</si>
  <si>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</si>
  <si>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</si>
  <si>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</si>
  <si>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</si>
  <si>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</si>
  <si>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</si>
  <si>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</si>
  <si>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</si>
  <si>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</si>
  <si>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</si>
  <si>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</si>
  <si>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</si>
  <si>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</si>
  <si>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</si>
  <si>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</si>
  <si>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</si>
  <si>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</si>
  <si>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</si>
  <si>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</si>
  <si>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</si>
  <si>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</si>
  <si>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</si>
  <si>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</si>
  <si>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</si>
  <si>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</si>
  <si>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</si>
  <si>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</si>
  <si>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</si>
  <si>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</si>
  <si>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</si>
  <si>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</si>
  <si>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</si>
  <si>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</si>
  <si>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</si>
  <si>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</si>
  <si>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</si>
  <si>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</si>
  <si>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</si>
  <si>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</si>
  <si>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</si>
  <si>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</si>
  <si>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</si>
  <si>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</si>
  <si>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</si>
  <si>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</si>
  <si>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</si>
  <si>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</si>
  <si>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</si>
  <si>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</si>
  <si>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</si>
  <si>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</si>
  <si>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</si>
  <si>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</si>
  <si>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</si>
  <si>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</si>
  <si>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</si>
  <si>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</si>
  <si>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</si>
  <si>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</si>
  <si>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</si>
  <si>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</si>
  <si>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</si>
  <si>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</si>
  <si>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</si>
  <si>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</si>
  <si>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</si>
  <si>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</si>
  <si>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</si>
  <si>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</si>
  <si>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</si>
  <si>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</si>
  <si>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</si>
  <si>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</si>
  <si>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</si>
  <si>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</si>
  <si>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</si>
  <si>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</si>
  <si>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</si>
  <si>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</si>
  <si>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</si>
  <si>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</si>
  <si>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</si>
  <si>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</si>
  <si>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</si>
  <si>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</si>
  <si>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</si>
  <si>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</si>
  <si>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</si>
  <si>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</si>
  <si>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</si>
  <si>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</si>
  <si>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 xml:space="preserve">住宅 </t>
  </si>
  <si>
    <t>地下仓储</t>
  </si>
  <si>
    <t>地下车库</t>
  </si>
  <si>
    <t>序号</t>
  </si>
  <si>
    <t>房号</t>
  </si>
  <si>
    <t xml:space="preserve"> 建筑面积 </t>
  </si>
  <si>
    <t xml:space="preserve"> 分摊的土地面积 </t>
  </si>
  <si>
    <t>楼栋</t>
  </si>
  <si>
    <t>储藏室号</t>
  </si>
  <si>
    <t>车位号</t>
  </si>
  <si>
    <t>地块</t>
  </si>
  <si>
    <t>1#住宅楼-1-101</t>
  </si>
  <si>
    <t>1#住宅楼</t>
  </si>
  <si>
    <t>地下车库北区</t>
  </si>
  <si>
    <t>1#住宅楼-1-102</t>
  </si>
  <si>
    <t>1#住宅楼-1-103</t>
  </si>
  <si>
    <t>1#住宅楼-1-104</t>
  </si>
  <si>
    <t>1#住宅楼-1-201</t>
  </si>
  <si>
    <t>1#住宅楼-1-202</t>
  </si>
  <si>
    <t>1#住宅楼-1-203</t>
  </si>
  <si>
    <t>1#住宅楼-1-204</t>
  </si>
  <si>
    <t>1#住宅楼-1-301</t>
  </si>
  <si>
    <t>1#住宅楼-1-302</t>
  </si>
  <si>
    <t>1#住宅楼-1-303</t>
  </si>
  <si>
    <t>1#住宅楼-1-304</t>
  </si>
  <si>
    <t>1#住宅楼-2-101</t>
  </si>
  <si>
    <t>1#住宅楼-2-102</t>
  </si>
  <si>
    <t>1#住宅楼-2-103</t>
  </si>
  <si>
    <t>1#住宅楼-2-104</t>
  </si>
  <si>
    <t>1#住宅楼-2-201</t>
  </si>
  <si>
    <t>1#住宅楼-2-202</t>
  </si>
  <si>
    <t>1#住宅楼-2-203</t>
  </si>
  <si>
    <t>1#住宅楼-2-204</t>
  </si>
  <si>
    <t>1#住宅楼-2-301</t>
  </si>
  <si>
    <t>1#住宅楼-2-302</t>
  </si>
  <si>
    <t>1#住宅楼-2-303</t>
  </si>
  <si>
    <t>1#住宅楼-2-304</t>
  </si>
  <si>
    <t>2#住宅楼-101</t>
  </si>
  <si>
    <t>2#住宅楼-102</t>
  </si>
  <si>
    <t>2#住宅楼-103</t>
  </si>
  <si>
    <t>2#住宅楼-104</t>
  </si>
  <si>
    <t>2#住宅楼-201</t>
  </si>
  <si>
    <t>2#住宅楼-202</t>
  </si>
  <si>
    <t>2#住宅楼-203</t>
  </si>
  <si>
    <t>2#住宅楼-204</t>
  </si>
  <si>
    <t>2#住宅楼-301</t>
  </si>
  <si>
    <t>2#住宅楼-302</t>
  </si>
  <si>
    <t>2#住宅楼-303</t>
  </si>
  <si>
    <t>2#住宅楼-304</t>
  </si>
  <si>
    <t>3#住宅楼-1-101</t>
  </si>
  <si>
    <t>3#住宅楼-1-102</t>
  </si>
  <si>
    <t>3#住宅楼-1-103</t>
  </si>
  <si>
    <t>3#住宅楼-1-104</t>
  </si>
  <si>
    <t>3#住宅楼-1-201</t>
  </si>
  <si>
    <t>3#住宅楼-1-202</t>
  </si>
  <si>
    <t>3#住宅楼-1-203</t>
  </si>
  <si>
    <t>3#住宅楼-1-204</t>
  </si>
  <si>
    <t>3#住宅楼-1-301</t>
  </si>
  <si>
    <t>3#住宅楼-1-302</t>
  </si>
  <si>
    <t>3#住宅楼-1-303</t>
  </si>
  <si>
    <t>3#住宅楼-1-304</t>
  </si>
  <si>
    <t>3#住宅楼-2-101</t>
  </si>
  <si>
    <t>3#住宅楼-2-102</t>
  </si>
  <si>
    <t>3#住宅楼-2-103</t>
  </si>
  <si>
    <t>3#住宅楼-2-104</t>
  </si>
  <si>
    <t>3#住宅楼-2-201</t>
  </si>
  <si>
    <t>3#住宅楼-2-202</t>
  </si>
  <si>
    <t>2#住宅楼</t>
  </si>
  <si>
    <t>3#住宅楼-2-203</t>
  </si>
  <si>
    <t>3#住宅楼-2-204</t>
  </si>
  <si>
    <t>3#住宅楼-2-301</t>
  </si>
  <si>
    <t>3#住宅楼-2-302</t>
  </si>
  <si>
    <t>3#住宅楼-2-303</t>
  </si>
  <si>
    <t>3#住宅楼-2-304</t>
  </si>
  <si>
    <t>4#住宅楼-101</t>
  </si>
  <si>
    <t>4#住宅楼-102</t>
  </si>
  <si>
    <t>4#住宅楼-103</t>
  </si>
  <si>
    <t>4#住宅楼-104</t>
  </si>
  <si>
    <t>4#住宅楼-201</t>
  </si>
  <si>
    <t>4#住宅楼-202</t>
  </si>
  <si>
    <t>4#住宅楼-203</t>
  </si>
  <si>
    <t>4#住宅楼-204</t>
  </si>
  <si>
    <t>4#住宅楼-301</t>
  </si>
  <si>
    <t>4#住宅楼-302</t>
  </si>
  <si>
    <t>4#住宅楼-303</t>
  </si>
  <si>
    <t>4#住宅楼-304</t>
  </si>
  <si>
    <t>5#住宅楼-1-101</t>
  </si>
  <si>
    <t>5#住宅楼-1-102</t>
  </si>
  <si>
    <t>5#住宅楼-1-103</t>
  </si>
  <si>
    <t>5#住宅楼-1-104</t>
  </si>
  <si>
    <t>5#住宅楼-1-201</t>
  </si>
  <si>
    <t>5#住宅楼-1-202</t>
  </si>
  <si>
    <t>5#住宅楼-1-203</t>
  </si>
  <si>
    <t>3#住宅楼</t>
  </si>
  <si>
    <t>5#住宅楼-1-204</t>
  </si>
  <si>
    <t>5#住宅楼-1-301</t>
  </si>
  <si>
    <t>5#住宅楼-1-302</t>
  </si>
  <si>
    <t>5#住宅楼-1-303</t>
  </si>
  <si>
    <t>5#住宅楼-1-304</t>
  </si>
  <si>
    <t>5#住宅楼-2-101</t>
  </si>
  <si>
    <t>5#住宅楼-2-102</t>
  </si>
  <si>
    <t>5#住宅楼-2-103</t>
  </si>
  <si>
    <t>5#住宅楼-2-104</t>
  </si>
  <si>
    <t>5#住宅楼-2-201</t>
  </si>
  <si>
    <t>5#住宅楼-2-202</t>
  </si>
  <si>
    <t>5#住宅楼-2-203</t>
  </si>
  <si>
    <t>5#住宅楼-2-204</t>
  </si>
  <si>
    <t>5#住宅楼-2-301</t>
  </si>
  <si>
    <t>5#住宅楼-2-302</t>
  </si>
  <si>
    <t>5#住宅楼-2-303</t>
  </si>
  <si>
    <t>5#住宅楼-2-304</t>
  </si>
  <si>
    <t>6#住宅楼-101</t>
  </si>
  <si>
    <t>6#住宅楼-102</t>
  </si>
  <si>
    <t>6#住宅楼-103</t>
  </si>
  <si>
    <t>6#住宅楼-104</t>
  </si>
  <si>
    <t>6#住宅楼-201</t>
  </si>
  <si>
    <t>6#住宅楼-202</t>
  </si>
  <si>
    <t>6#住宅楼-203</t>
  </si>
  <si>
    <t>6#住宅楼-204</t>
  </si>
  <si>
    <t>6#住宅楼-301</t>
  </si>
  <si>
    <t>6#住宅楼-302</t>
  </si>
  <si>
    <t>6#住宅楼-303</t>
  </si>
  <si>
    <t>6#住宅楼-304</t>
  </si>
  <si>
    <t>7#住宅楼-1-101</t>
  </si>
  <si>
    <t>7#住宅楼-1-102</t>
  </si>
  <si>
    <t>7#住宅楼-1-103</t>
  </si>
  <si>
    <t>7#住宅楼-1-104</t>
  </si>
  <si>
    <t>7#住宅楼-1-201</t>
  </si>
  <si>
    <t>7#住宅楼-1-202</t>
  </si>
  <si>
    <t>7#住宅楼-1-203</t>
  </si>
  <si>
    <t>7#住宅楼-1-204</t>
  </si>
  <si>
    <t>7#住宅楼-1-301</t>
  </si>
  <si>
    <t>7#住宅楼-1-302</t>
  </si>
  <si>
    <t>7#住宅楼-1-303</t>
  </si>
  <si>
    <t>7#住宅楼-1-304</t>
  </si>
  <si>
    <t>7#住宅楼-2-101</t>
  </si>
  <si>
    <t>7#住宅楼-2-102</t>
  </si>
  <si>
    <t>7#住宅楼-2-103</t>
  </si>
  <si>
    <t>7#住宅楼-2-104</t>
  </si>
  <si>
    <t>7#住宅楼-2-201</t>
  </si>
  <si>
    <t>7#住宅楼-2-202</t>
  </si>
  <si>
    <t>7#住宅楼-2-203</t>
  </si>
  <si>
    <t>7#住宅楼-2-204</t>
  </si>
  <si>
    <t>7#住宅楼-2-301</t>
  </si>
  <si>
    <t>7#住宅楼-2-302</t>
  </si>
  <si>
    <t>7#住宅楼-2-303</t>
  </si>
  <si>
    <t>7#住宅楼-2-304</t>
  </si>
  <si>
    <t>8#住宅楼-1-101</t>
  </si>
  <si>
    <t>8#住宅楼-1-102</t>
  </si>
  <si>
    <t>8#住宅楼-1-103</t>
  </si>
  <si>
    <t>4#住宅楼</t>
  </si>
  <si>
    <t>8#住宅楼-1-104</t>
  </si>
  <si>
    <t>8#住宅楼-1-201</t>
  </si>
  <si>
    <t>8#住宅楼-1-202</t>
  </si>
  <si>
    <t>8#住宅楼-1-203</t>
  </si>
  <si>
    <t>8#住宅楼-1-204</t>
  </si>
  <si>
    <t>8#住宅楼-1-301</t>
  </si>
  <si>
    <t>8#住宅楼-1-302</t>
  </si>
  <si>
    <t>8#住宅楼-1-303</t>
  </si>
  <si>
    <t>8#住宅楼-1-304</t>
  </si>
  <si>
    <t>8#住宅楼-2-101</t>
  </si>
  <si>
    <t>8#住宅楼-2-102</t>
  </si>
  <si>
    <t>8#住宅楼-2-103</t>
  </si>
  <si>
    <t>8#住宅楼-2-104</t>
  </si>
  <si>
    <t>8#住宅楼-2-201</t>
  </si>
  <si>
    <t>8#住宅楼-2-202</t>
  </si>
  <si>
    <t>8#住宅楼-2-203</t>
  </si>
  <si>
    <t>8#住宅楼-2-204</t>
  </si>
  <si>
    <t>8#住宅楼-2-301</t>
  </si>
  <si>
    <t>8#住宅楼-2-302</t>
  </si>
  <si>
    <t>8#住宅楼-2-303</t>
  </si>
  <si>
    <t>8#住宅楼-2-304</t>
  </si>
  <si>
    <t>9#住宅楼-1-101</t>
  </si>
  <si>
    <t>9#住宅楼-1-102</t>
  </si>
  <si>
    <t>9#住宅楼-1-103</t>
  </si>
  <si>
    <t>9#住宅楼-1-104</t>
  </si>
  <si>
    <t>5#住宅楼</t>
  </si>
  <si>
    <t>9#住宅楼-1-201</t>
  </si>
  <si>
    <t>9#住宅楼-1-202</t>
  </si>
  <si>
    <t>9#住宅楼-1-203</t>
  </si>
  <si>
    <t>9#住宅楼-1-204</t>
  </si>
  <si>
    <t>9#住宅楼-1-301</t>
  </si>
  <si>
    <t>9#住宅楼-1-302</t>
  </si>
  <si>
    <t>9#住宅楼-1-303</t>
  </si>
  <si>
    <t>9#住宅楼-1-304</t>
  </si>
  <si>
    <t>9#住宅楼-2-101</t>
  </si>
  <si>
    <t>9#住宅楼-2-102</t>
  </si>
  <si>
    <t>9#住宅楼-2-103</t>
  </si>
  <si>
    <t>9#住宅楼-2-104</t>
  </si>
  <si>
    <t>9#住宅楼-2-201</t>
  </si>
  <si>
    <t>9#住宅楼-2-202</t>
  </si>
  <si>
    <t>9#住宅楼-2-203</t>
  </si>
  <si>
    <t>9#住宅楼-2-204</t>
  </si>
  <si>
    <t>9#住宅楼-2-301</t>
  </si>
  <si>
    <t>9#住宅楼-2-302</t>
  </si>
  <si>
    <t>9#住宅楼-2-303</t>
  </si>
  <si>
    <t>9#住宅楼-2-304</t>
  </si>
  <si>
    <t>10#住宅楼-101</t>
  </si>
  <si>
    <t>10#住宅楼-102</t>
  </si>
  <si>
    <t>10#住宅楼-103</t>
  </si>
  <si>
    <t>10#住宅楼-104</t>
  </si>
  <si>
    <t>10#住宅楼-201</t>
  </si>
  <si>
    <t>10#住宅楼-202</t>
  </si>
  <si>
    <t>10#住宅楼-203</t>
  </si>
  <si>
    <t>10#住宅楼-204</t>
  </si>
  <si>
    <t>10#住宅楼-301</t>
  </si>
  <si>
    <t>10#住宅楼-302</t>
  </si>
  <si>
    <t>10#住宅楼-303</t>
  </si>
  <si>
    <t>10#住宅楼-304</t>
  </si>
  <si>
    <t>11#住宅楼-101</t>
  </si>
  <si>
    <t>11#住宅楼-102</t>
  </si>
  <si>
    <t>11#住宅楼-103</t>
  </si>
  <si>
    <t>11#住宅楼-104</t>
  </si>
  <si>
    <t>11#住宅楼-201</t>
  </si>
  <si>
    <t>11#住宅楼-202</t>
  </si>
  <si>
    <t>11#住宅楼-203</t>
  </si>
  <si>
    <t>11#住宅楼-204</t>
  </si>
  <si>
    <t>11#住宅楼-301</t>
  </si>
  <si>
    <t>11#住宅楼-302</t>
  </si>
  <si>
    <t>11#住宅楼-303</t>
  </si>
  <si>
    <t>11#住宅楼-304</t>
  </si>
  <si>
    <t>11#住宅楼-401</t>
  </si>
  <si>
    <t>11#住宅楼-402</t>
  </si>
  <si>
    <t>11#住宅楼-403</t>
  </si>
  <si>
    <t>11#住宅楼-404</t>
  </si>
  <si>
    <t>11#住宅楼-501</t>
  </si>
  <si>
    <t>11#住宅楼-502</t>
  </si>
  <si>
    <t>11#住宅楼-503</t>
  </si>
  <si>
    <t>11#住宅楼-504</t>
  </si>
  <si>
    <t>11#住宅楼-601</t>
  </si>
  <si>
    <t>6#住宅楼</t>
  </si>
  <si>
    <t>11#住宅楼-602</t>
  </si>
  <si>
    <t>11#住宅楼-603</t>
  </si>
  <si>
    <t>11#住宅楼-604</t>
  </si>
  <si>
    <t>11#住宅楼-701</t>
  </si>
  <si>
    <t>11#住宅楼-702</t>
  </si>
  <si>
    <t>11#住宅楼-703</t>
  </si>
  <si>
    <t>11#住宅楼-704</t>
  </si>
  <si>
    <t>11#住宅楼-801</t>
  </si>
  <si>
    <t>11#住宅楼-802</t>
  </si>
  <si>
    <t>11#住宅楼-803</t>
  </si>
  <si>
    <t>11#住宅楼-804</t>
  </si>
  <si>
    <t>11#住宅楼-901</t>
  </si>
  <si>
    <t>11#住宅楼-902</t>
  </si>
  <si>
    <t>11#住宅楼-903</t>
  </si>
  <si>
    <t>11#住宅楼-904</t>
  </si>
  <si>
    <t>11#住宅楼-1001</t>
  </si>
  <si>
    <t>11#住宅楼-1002</t>
  </si>
  <si>
    <t>11#住宅楼-1003</t>
  </si>
  <si>
    <t>11#住宅楼-1004</t>
  </si>
  <si>
    <t>11#住宅楼-1101</t>
  </si>
  <si>
    <t>11#住宅楼-1102</t>
  </si>
  <si>
    <t>11#住宅楼-1103</t>
  </si>
  <si>
    <t>11#住宅楼-1104</t>
  </si>
  <si>
    <t>11#住宅楼-1201</t>
  </si>
  <si>
    <t>11#住宅楼-1202</t>
  </si>
  <si>
    <t>7#住宅楼</t>
  </si>
  <si>
    <t>11#住宅楼-1203</t>
  </si>
  <si>
    <t>11#住宅楼-1204</t>
  </si>
  <si>
    <t>11#住宅楼-1301</t>
  </si>
  <si>
    <t>11#住宅楼-1302</t>
  </si>
  <si>
    <t>11#住宅楼-1303</t>
  </si>
  <si>
    <t>11#住宅楼-1304</t>
  </si>
  <si>
    <t>11#住宅楼-1401</t>
  </si>
  <si>
    <t>11#住宅楼-1402</t>
  </si>
  <si>
    <t>11#住宅楼-1403</t>
  </si>
  <si>
    <t>11#住宅楼-1404</t>
  </si>
  <si>
    <t>11#住宅楼-1501</t>
  </si>
  <si>
    <t>11#住宅楼-1502</t>
  </si>
  <si>
    <t>11#住宅楼-1503</t>
  </si>
  <si>
    <t>11#住宅楼-1504</t>
  </si>
  <si>
    <t>12#住宅楼-1-101</t>
  </si>
  <si>
    <t>12#住宅楼-1-102</t>
  </si>
  <si>
    <t>12#住宅楼-1-103</t>
  </si>
  <si>
    <t>12#住宅楼-1-104</t>
  </si>
  <si>
    <t>12#住宅楼-1-201</t>
  </si>
  <si>
    <t>12#住宅楼-1-202</t>
  </si>
  <si>
    <t>12#住宅楼-1-203</t>
  </si>
  <si>
    <t>12#住宅楼-1-204</t>
  </si>
  <si>
    <t>12#住宅楼-1-301</t>
  </si>
  <si>
    <t>12#住宅楼-1-302</t>
  </si>
  <si>
    <t>12#住宅楼-1-303</t>
  </si>
  <si>
    <t>12#住宅楼-1-304</t>
  </si>
  <si>
    <t>12#住宅楼-1-401</t>
  </si>
  <si>
    <t>12#住宅楼-1-402</t>
  </si>
  <si>
    <t>12#住宅楼-1-403</t>
  </si>
  <si>
    <t>12#住宅楼-1-404</t>
  </si>
  <si>
    <t>12#住宅楼-1-501</t>
  </si>
  <si>
    <t>12#住宅楼-1-502</t>
  </si>
  <si>
    <t>12#住宅楼-1-503</t>
  </si>
  <si>
    <t>12#住宅楼-1-504</t>
  </si>
  <si>
    <t>12#住宅楼-1-601</t>
  </si>
  <si>
    <t>12#住宅楼-1-602</t>
  </si>
  <si>
    <t>12#住宅楼-1-603</t>
  </si>
  <si>
    <t>12#住宅楼-1-604</t>
  </si>
  <si>
    <t>12#住宅楼-1-701</t>
  </si>
  <si>
    <t>12#住宅楼-1-702</t>
  </si>
  <si>
    <t>12#住宅楼-1-703</t>
  </si>
  <si>
    <t>12#住宅楼-1-704</t>
  </si>
  <si>
    <t>12#住宅楼-1-801</t>
  </si>
  <si>
    <t>12#住宅楼-1-802</t>
  </si>
  <si>
    <t>12#住宅楼-1-803</t>
  </si>
  <si>
    <t>12#住宅楼-1-804</t>
  </si>
  <si>
    <t>12#住宅楼-1-901</t>
  </si>
  <si>
    <t>12#住宅楼-1-902</t>
  </si>
  <si>
    <t>12#住宅楼-1-903</t>
  </si>
  <si>
    <t>12#住宅楼-1-904</t>
  </si>
  <si>
    <t>12#住宅楼-1-1001</t>
  </si>
  <si>
    <t>12#住宅楼-1-1002</t>
  </si>
  <si>
    <t>12#住宅楼-1-1003</t>
  </si>
  <si>
    <t>12#住宅楼-1-1004</t>
  </si>
  <si>
    <t>12#住宅楼-1-1101</t>
  </si>
  <si>
    <t>12#住宅楼-1-1102</t>
  </si>
  <si>
    <t>12#住宅楼-1-1103</t>
  </si>
  <si>
    <t>12#住宅楼-1-1104</t>
  </si>
  <si>
    <t>12#住宅楼-1-1201</t>
  </si>
  <si>
    <t>12#住宅楼-1-1202</t>
  </si>
  <si>
    <t>12#住宅楼-1-1203</t>
  </si>
  <si>
    <t>12#住宅楼-1-1204</t>
  </si>
  <si>
    <t>12#住宅楼-1-1301</t>
  </si>
  <si>
    <t>12#住宅楼-1-1302</t>
  </si>
  <si>
    <t>12#住宅楼-1-1303</t>
  </si>
  <si>
    <t>12#住宅楼-1-1304</t>
  </si>
  <si>
    <t>12#住宅楼-1-1401</t>
  </si>
  <si>
    <t>12#住宅楼-1-1402</t>
  </si>
  <si>
    <t>12#住宅楼-1-1403</t>
  </si>
  <si>
    <t>12#住宅楼-1-1404</t>
  </si>
  <si>
    <t>12#住宅楼-1-1501</t>
  </si>
  <si>
    <t>12#住宅楼-1-1502</t>
  </si>
  <si>
    <t>12#住宅楼-1-1503</t>
  </si>
  <si>
    <t>12#住宅楼-1-1504</t>
  </si>
  <si>
    <t>12#住宅楼-2-101</t>
  </si>
  <si>
    <t>8#住宅楼</t>
  </si>
  <si>
    <t>12#住宅楼-2-102</t>
  </si>
  <si>
    <t>12#住宅楼-2-103</t>
  </si>
  <si>
    <t>12#住宅楼-2-104</t>
  </si>
  <si>
    <t>12#住宅楼-2-201</t>
  </si>
  <si>
    <t>12#住宅楼-2-202</t>
  </si>
  <si>
    <t>12#住宅楼-2-203</t>
  </si>
  <si>
    <t>12#住宅楼-2-204</t>
  </si>
  <si>
    <t>12#住宅楼-2-301</t>
  </si>
  <si>
    <t>12#住宅楼-2-302</t>
  </si>
  <si>
    <t>12#住宅楼-2-303</t>
  </si>
  <si>
    <t>12#住宅楼-2-304</t>
  </si>
  <si>
    <t>12#住宅楼-2-401</t>
  </si>
  <si>
    <t>12#住宅楼-2-402</t>
  </si>
  <si>
    <t>12#住宅楼-2-403</t>
  </si>
  <si>
    <t>12#住宅楼-2-404</t>
  </si>
  <si>
    <t>12#住宅楼-2-501</t>
  </si>
  <si>
    <t>12#住宅楼-2-502</t>
  </si>
  <si>
    <t>12#住宅楼-2-503</t>
  </si>
  <si>
    <t>12#住宅楼-2-504</t>
  </si>
  <si>
    <t>12#住宅楼-2-601</t>
  </si>
  <si>
    <t>12#住宅楼-2-602</t>
  </si>
  <si>
    <t>12#住宅楼-2-603</t>
  </si>
  <si>
    <t>12#住宅楼-2-604</t>
  </si>
  <si>
    <t>12#住宅楼-2-701</t>
  </si>
  <si>
    <t>12#住宅楼-2-702</t>
  </si>
  <si>
    <t>12#住宅楼-2-703</t>
  </si>
  <si>
    <t>12#住宅楼-2-704</t>
  </si>
  <si>
    <t>12#住宅楼-2-801</t>
  </si>
  <si>
    <t>12#住宅楼-2-802</t>
  </si>
  <si>
    <t>12#住宅楼-2-803</t>
  </si>
  <si>
    <t>12#住宅楼-2-804</t>
  </si>
  <si>
    <t>12#住宅楼-2-901</t>
  </si>
  <si>
    <t>12#住宅楼-2-902</t>
  </si>
  <si>
    <t>12#住宅楼-2-903</t>
  </si>
  <si>
    <t>12#住宅楼-2-904</t>
  </si>
  <si>
    <t>12#住宅楼-2-1001</t>
  </si>
  <si>
    <t>12#住宅楼-2-1002</t>
  </si>
  <si>
    <t>12#住宅楼-2-1003</t>
  </si>
  <si>
    <t>12#住宅楼-2-1004</t>
  </si>
  <si>
    <t>12#住宅楼-2-1101</t>
  </si>
  <si>
    <t>12#住宅楼-2-1102</t>
  </si>
  <si>
    <t>12#住宅楼-2-1103</t>
  </si>
  <si>
    <t>12#住宅楼-2-1104</t>
  </si>
  <si>
    <t>12#住宅楼-2-1201</t>
  </si>
  <si>
    <t>12#住宅楼-2-1202</t>
  </si>
  <si>
    <t>12#住宅楼-2-1203</t>
  </si>
  <si>
    <t>12#住宅楼-2-1204</t>
  </si>
  <si>
    <t>12#住宅楼-2-1301</t>
  </si>
  <si>
    <t>12#住宅楼-2-1302</t>
  </si>
  <si>
    <t>12#住宅楼-2-1303</t>
  </si>
  <si>
    <t>12#住宅楼-2-1304</t>
  </si>
  <si>
    <t>12#住宅楼-2-1401</t>
  </si>
  <si>
    <t>12#住宅楼-2-1402</t>
  </si>
  <si>
    <t>12#住宅楼-2-1403</t>
  </si>
  <si>
    <t>12#住宅楼-2-1404</t>
  </si>
  <si>
    <t>12#住宅楼-2-1501</t>
  </si>
  <si>
    <t>12#住宅楼-2-1502</t>
  </si>
  <si>
    <t>12#住宅楼-2-1503</t>
  </si>
  <si>
    <t>12#住宅楼-2-1504</t>
  </si>
  <si>
    <t>12#住宅楼-3-101</t>
  </si>
  <si>
    <t>12#住宅楼-3-102</t>
  </si>
  <si>
    <t>12#住宅楼-3-103</t>
  </si>
  <si>
    <t>12#住宅楼-3-104</t>
  </si>
  <si>
    <t>12#住宅楼-3-201</t>
  </si>
  <si>
    <t>12#住宅楼-3-202</t>
  </si>
  <si>
    <t>12#住宅楼-3-203</t>
  </si>
  <si>
    <t>12#住宅楼-3-204</t>
  </si>
  <si>
    <t>12#住宅楼-3-301</t>
  </si>
  <si>
    <t>12#住宅楼-3-302</t>
  </si>
  <si>
    <t>12#住宅楼-3-303</t>
  </si>
  <si>
    <t>12#住宅楼-3-304</t>
  </si>
  <si>
    <t>12#住宅楼-3-401</t>
  </si>
  <si>
    <t>12#住宅楼-3-402</t>
  </si>
  <si>
    <t>12#住宅楼-3-403</t>
  </si>
  <si>
    <t>12#住宅楼-3-404</t>
  </si>
  <si>
    <t>12#住宅楼-3-501</t>
  </si>
  <si>
    <t>12#住宅楼-3-502</t>
  </si>
  <si>
    <t>12#住宅楼-3-503</t>
  </si>
  <si>
    <t>12#住宅楼-3-504</t>
  </si>
  <si>
    <t>12#住宅楼-3-601</t>
  </si>
  <si>
    <t>12#住宅楼-3-602</t>
  </si>
  <si>
    <t>12#住宅楼-3-603</t>
  </si>
  <si>
    <t>12#住宅楼-3-604</t>
  </si>
  <si>
    <t>12#住宅楼-3-701</t>
  </si>
  <si>
    <t>12#住宅楼-3-702</t>
  </si>
  <si>
    <t>12#住宅楼-3-703</t>
  </si>
  <si>
    <t>12#住宅楼-3-704</t>
  </si>
  <si>
    <t>12#住宅楼-3-801</t>
  </si>
  <si>
    <t>12#住宅楼-3-802</t>
  </si>
  <si>
    <t>12#住宅楼-3-803</t>
  </si>
  <si>
    <t>12#住宅楼-3-804</t>
  </si>
  <si>
    <t>12#住宅楼-3-901</t>
  </si>
  <si>
    <t>12#住宅楼-3-902</t>
  </si>
  <si>
    <t>12#住宅楼-3-903</t>
  </si>
  <si>
    <t>12#住宅楼-3-904</t>
  </si>
  <si>
    <t>12#住宅楼-3-1001</t>
  </si>
  <si>
    <t>12#住宅楼-3-1002</t>
  </si>
  <si>
    <t>12#住宅楼-3-1003</t>
  </si>
  <si>
    <t>12#住宅楼-3-1004</t>
  </si>
  <si>
    <t>12#住宅楼-3-1101</t>
  </si>
  <si>
    <t>12#住宅楼-3-1102</t>
  </si>
  <si>
    <t>12#住宅楼-3-1103</t>
  </si>
  <si>
    <t>12#住宅楼-3-1104</t>
  </si>
  <si>
    <t>12#住宅楼-3-1201</t>
  </si>
  <si>
    <t>12#住宅楼-3-1202</t>
  </si>
  <si>
    <t>12#住宅楼-3-1203</t>
  </si>
  <si>
    <t>12#住宅楼-3-1204</t>
  </si>
  <si>
    <t>12#住宅楼-3-1301</t>
  </si>
  <si>
    <t>12#住宅楼-3-1302</t>
  </si>
  <si>
    <t>12#住宅楼-3-1303</t>
  </si>
  <si>
    <t>12#住宅楼-3-1304</t>
  </si>
  <si>
    <t>12#住宅楼-3-1401</t>
  </si>
  <si>
    <t>12#住宅楼-3-1402</t>
  </si>
  <si>
    <t>12#住宅楼-3-1403</t>
  </si>
  <si>
    <t>12#住宅楼-3-1404</t>
  </si>
  <si>
    <t>12#住宅楼-3-1501</t>
  </si>
  <si>
    <t>12#住宅楼-3-1502</t>
  </si>
  <si>
    <t>12#住宅楼-3-1503</t>
  </si>
  <si>
    <t>12#住宅楼-3-1504</t>
  </si>
  <si>
    <t>13#住宅楼-1-101</t>
  </si>
  <si>
    <t>13#住宅楼-1-102</t>
  </si>
  <si>
    <t>13#住宅楼-1-103</t>
  </si>
  <si>
    <t>13#住宅楼-1-104</t>
  </si>
  <si>
    <t>13#住宅楼-1-201</t>
  </si>
  <si>
    <t>13#住宅楼-1-202</t>
  </si>
  <si>
    <t>13#住宅楼-1-203</t>
  </si>
  <si>
    <t>9#住宅楼</t>
  </si>
  <si>
    <t>13#住宅楼-1-204</t>
  </si>
  <si>
    <t>13#住宅楼-1-301</t>
  </si>
  <si>
    <t>13#住宅楼-1-302</t>
  </si>
  <si>
    <t>13#住宅楼-1-303</t>
  </si>
  <si>
    <t>13#住宅楼-1-304</t>
  </si>
  <si>
    <t>13#住宅楼-1-401</t>
  </si>
  <si>
    <t>13#住宅楼-1-402</t>
  </si>
  <si>
    <t>13#住宅楼-1-403</t>
  </si>
  <si>
    <t>13#住宅楼-1-404</t>
  </si>
  <si>
    <t>13#住宅楼-1-501</t>
  </si>
  <si>
    <t>13#住宅楼-1-502</t>
  </si>
  <si>
    <t>13#住宅楼-1-503</t>
  </si>
  <si>
    <t>13#住宅楼-1-504</t>
  </si>
  <si>
    <t>13#住宅楼-1-601</t>
  </si>
  <si>
    <t>13#住宅楼-1-602</t>
  </si>
  <si>
    <t>13#住宅楼-1-603</t>
  </si>
  <si>
    <t>13#住宅楼-1-604</t>
  </si>
  <si>
    <t>13#住宅楼-1-701</t>
  </si>
  <si>
    <t>13#住宅楼-1-702</t>
  </si>
  <si>
    <t>13#住宅楼-1-703</t>
  </si>
  <si>
    <t>13#住宅楼-1-704</t>
  </si>
  <si>
    <t>13#住宅楼-1-801</t>
  </si>
  <si>
    <t>13#住宅楼-1-802</t>
  </si>
  <si>
    <t>13#住宅楼-1-803</t>
  </si>
  <si>
    <t>13#住宅楼-1-804</t>
  </si>
  <si>
    <t>13#住宅楼-1-901</t>
  </si>
  <si>
    <t>13#住宅楼-1-902</t>
  </si>
  <si>
    <t>13#住宅楼-1-903</t>
  </si>
  <si>
    <t>13#住宅楼-1-904</t>
  </si>
  <si>
    <t>13#住宅楼-1-1001</t>
  </si>
  <si>
    <t>13#住宅楼-1-1002</t>
  </si>
  <si>
    <t>13#住宅楼-1-1003</t>
  </si>
  <si>
    <t>13#住宅楼-1-1004</t>
  </si>
  <si>
    <t>13#住宅楼-1-1101</t>
  </si>
  <si>
    <t>13#住宅楼-1-1102</t>
  </si>
  <si>
    <t>13#住宅楼-1-1103</t>
  </si>
  <si>
    <t>13#住宅楼-1-1104</t>
  </si>
  <si>
    <t>13#住宅楼-1-1201</t>
  </si>
  <si>
    <t>13#住宅楼-1-1202</t>
  </si>
  <si>
    <t>13#住宅楼-1-1203</t>
  </si>
  <si>
    <t>13#住宅楼-1-1204</t>
  </si>
  <si>
    <t>13#住宅楼-1-1301</t>
  </si>
  <si>
    <t>13#住宅楼-1-1302</t>
  </si>
  <si>
    <t>13#住宅楼-1-1303</t>
  </si>
  <si>
    <t>13#住宅楼-1-1304</t>
  </si>
  <si>
    <t>13#住宅楼-1-1401</t>
  </si>
  <si>
    <t>13#住宅楼-1-1402</t>
  </si>
  <si>
    <t>13#住宅楼-1-1403</t>
  </si>
  <si>
    <t>13#住宅楼-1-1404</t>
  </si>
  <si>
    <t>13#住宅楼-1-1501</t>
  </si>
  <si>
    <t>13#住宅楼-1-1502</t>
  </si>
  <si>
    <t>13#住宅楼-1-1503</t>
  </si>
  <si>
    <t>13#住宅楼-1-1504</t>
  </si>
  <si>
    <t>13#住宅楼-2-101</t>
  </si>
  <si>
    <t>13#住宅楼-2-102</t>
  </si>
  <si>
    <t>13#住宅楼-2-103</t>
  </si>
  <si>
    <t>13#住宅楼-2-104</t>
  </si>
  <si>
    <t>13#住宅楼-2-201</t>
  </si>
  <si>
    <t>13#住宅楼-2-202</t>
  </si>
  <si>
    <t>13#住宅楼-2-203</t>
  </si>
  <si>
    <t>13#住宅楼-2-204</t>
  </si>
  <si>
    <t>13#住宅楼-2-301</t>
  </si>
  <si>
    <t>13#住宅楼-2-302</t>
  </si>
  <si>
    <t>13#住宅楼-2-303</t>
  </si>
  <si>
    <t>13#住宅楼-2-304</t>
  </si>
  <si>
    <t>13#住宅楼-2-401</t>
  </si>
  <si>
    <t>13#住宅楼-2-402</t>
  </si>
  <si>
    <t>13#住宅楼-2-403</t>
  </si>
  <si>
    <t>13#住宅楼-2-404</t>
  </si>
  <si>
    <t>13#住宅楼-2-501</t>
  </si>
  <si>
    <t>13#住宅楼-2-502</t>
  </si>
  <si>
    <t>13#住宅楼-2-503</t>
  </si>
  <si>
    <t>13#住宅楼-2-504</t>
  </si>
  <si>
    <t>13#住宅楼-2-601</t>
  </si>
  <si>
    <t>13#住宅楼-2-602</t>
  </si>
  <si>
    <t>13#住宅楼-2-603</t>
  </si>
  <si>
    <t>10#住宅楼</t>
  </si>
  <si>
    <t>13#住宅楼-2-604</t>
  </si>
  <si>
    <t>13#住宅楼-2-701</t>
  </si>
  <si>
    <t>13#住宅楼-2-702</t>
  </si>
  <si>
    <t>13#住宅楼-2-703</t>
  </si>
  <si>
    <t>13#住宅楼-2-704</t>
  </si>
  <si>
    <t>13#住宅楼-2-801</t>
  </si>
  <si>
    <t>13#住宅楼-2-802</t>
  </si>
  <si>
    <t>13#住宅楼-2-803</t>
  </si>
  <si>
    <t>13#住宅楼-2-804</t>
  </si>
  <si>
    <t>13#住宅楼-2-901</t>
  </si>
  <si>
    <t>13#住宅楼-2-902</t>
  </si>
  <si>
    <t>13#住宅楼-2-903</t>
  </si>
  <si>
    <t>13#住宅楼-2-904</t>
  </si>
  <si>
    <t>13#住宅楼-2-1001</t>
  </si>
  <si>
    <t>13#住宅楼-2-1002</t>
  </si>
  <si>
    <t>13#住宅楼-2-1003</t>
  </si>
  <si>
    <t>13#住宅楼-2-1004</t>
  </si>
  <si>
    <t>13#住宅楼-2-1101</t>
  </si>
  <si>
    <t>13#住宅楼-2-1102</t>
  </si>
  <si>
    <t>13#住宅楼-2-1103</t>
  </si>
  <si>
    <t>13#住宅楼-2-1104</t>
  </si>
  <si>
    <t>13#住宅楼-2-1201</t>
  </si>
  <si>
    <t>13#住宅楼-2-1202</t>
  </si>
  <si>
    <t>13#住宅楼-2-1203</t>
  </si>
  <si>
    <t>13#住宅楼-2-1204</t>
  </si>
  <si>
    <t>11#住宅楼</t>
  </si>
  <si>
    <t>13#住宅楼-2-1301</t>
  </si>
  <si>
    <t>13#住宅楼-2-1302</t>
  </si>
  <si>
    <t>13#住宅楼-2-1303</t>
  </si>
  <si>
    <t>13#住宅楼-2-1304</t>
  </si>
  <si>
    <t>13#住宅楼-2-1401</t>
  </si>
  <si>
    <t>13#住宅楼-2-1402</t>
  </si>
  <si>
    <t>13#住宅楼-2-1403</t>
  </si>
  <si>
    <t>13#住宅楼-2-1404</t>
  </si>
  <si>
    <t>13#住宅楼-2-1501</t>
  </si>
  <si>
    <t>13#住宅楼-2-1502</t>
  </si>
  <si>
    <t>13#住宅楼-2-1503</t>
  </si>
  <si>
    <t>13#住宅楼-2-1504</t>
  </si>
  <si>
    <t>14#住宅楼-1-101</t>
  </si>
  <si>
    <t>14#住宅楼-1-102</t>
  </si>
  <si>
    <t>14#住宅楼-1-103</t>
  </si>
  <si>
    <t>14#住宅楼-1-104</t>
  </si>
  <si>
    <t>14#住宅楼-1-201</t>
  </si>
  <si>
    <t>14#住宅楼-1-202</t>
  </si>
  <si>
    <t>14#住宅楼-1-203</t>
  </si>
  <si>
    <t>14#住宅楼-1-204</t>
  </si>
  <si>
    <t>14#住宅楼-1-301</t>
  </si>
  <si>
    <t>14#住宅楼-1-302</t>
  </si>
  <si>
    <t>14#住宅楼-1-303</t>
  </si>
  <si>
    <t>14#住宅楼-1-304</t>
  </si>
  <si>
    <t>14#住宅楼-1-401</t>
  </si>
  <si>
    <t>14#住宅楼-1-402</t>
  </si>
  <si>
    <t>12#住宅楼</t>
  </si>
  <si>
    <t>14#住宅楼-1-403</t>
  </si>
  <si>
    <t>14#住宅楼-1-404</t>
  </si>
  <si>
    <t>14#住宅楼-1-501</t>
  </si>
  <si>
    <t>14#住宅楼-1-502</t>
  </si>
  <si>
    <t>14#住宅楼-1-503</t>
  </si>
  <si>
    <t>14#住宅楼-1-504</t>
  </si>
  <si>
    <t>14#住宅楼-1-601</t>
  </si>
  <si>
    <t>14#住宅楼-1-602</t>
  </si>
  <si>
    <t>14#住宅楼-1-603</t>
  </si>
  <si>
    <t>14#住宅楼-1-604</t>
  </si>
  <si>
    <t>14#住宅楼-1-701</t>
  </si>
  <si>
    <t>14#住宅楼-1-702</t>
  </si>
  <si>
    <t>14#住宅楼-1-703</t>
  </si>
  <si>
    <t>14#住宅楼-1-704</t>
  </si>
  <si>
    <t>14#住宅楼-1-801</t>
  </si>
  <si>
    <t>14#住宅楼-1-802</t>
  </si>
  <si>
    <t>14#住宅楼-1-803</t>
  </si>
  <si>
    <t>14#住宅楼-1-804</t>
  </si>
  <si>
    <t>14#住宅楼-1-901</t>
  </si>
  <si>
    <t>14#住宅楼-1-902</t>
  </si>
  <si>
    <t>14#住宅楼-1-903</t>
  </si>
  <si>
    <t>14#住宅楼-1-904</t>
  </si>
  <si>
    <t>14#住宅楼-1-1001</t>
  </si>
  <si>
    <t>14#住宅楼-1-1002</t>
  </si>
  <si>
    <t>14#住宅楼-1-1003</t>
  </si>
  <si>
    <t>14#住宅楼-1-1004</t>
  </si>
  <si>
    <t>14#住宅楼-1-1101</t>
  </si>
  <si>
    <t>14#住宅楼-1-1102</t>
  </si>
  <si>
    <t>14#住宅楼-1-1103</t>
  </si>
  <si>
    <t>14#住宅楼-1-1104</t>
  </si>
  <si>
    <t>14#住宅楼-1-1201</t>
  </si>
  <si>
    <t>14#住宅楼-1-1202</t>
  </si>
  <si>
    <t>14#住宅楼-1-1203</t>
  </si>
  <si>
    <t>14#住宅楼-1-1204</t>
  </si>
  <si>
    <t>14#住宅楼-1-1301</t>
  </si>
  <si>
    <t>14#住宅楼-1-1302</t>
  </si>
  <si>
    <t>14#住宅楼-1-1303</t>
  </si>
  <si>
    <t>14#住宅楼-1-1304</t>
  </si>
  <si>
    <t>14#住宅楼-1-1401</t>
  </si>
  <si>
    <t>14#住宅楼-1-1402</t>
  </si>
  <si>
    <t>14#住宅楼-1-1403</t>
  </si>
  <si>
    <t>14#住宅楼-1-1404</t>
  </si>
  <si>
    <t>14#住宅楼-1-1501</t>
  </si>
  <si>
    <t>14#住宅楼-1-1502</t>
  </si>
  <si>
    <t>14#住宅楼-1-1503</t>
  </si>
  <si>
    <t>14#住宅楼-1-1504</t>
  </si>
  <si>
    <t>14#住宅楼-2-101</t>
  </si>
  <si>
    <t>14#住宅楼-2-102</t>
  </si>
  <si>
    <t>14#住宅楼-2-103</t>
  </si>
  <si>
    <t>14#住宅楼-2-104</t>
  </si>
  <si>
    <t>14#住宅楼-2-201</t>
  </si>
  <si>
    <t>14#住宅楼-2-202</t>
  </si>
  <si>
    <t>14#住宅楼-2-203</t>
  </si>
  <si>
    <t>14#住宅楼-2-204</t>
  </si>
  <si>
    <t>14#住宅楼-2-301</t>
  </si>
  <si>
    <t>14#住宅楼-2-302</t>
  </si>
  <si>
    <t>14#住宅楼-2-303</t>
  </si>
  <si>
    <t>14#住宅楼-2-304</t>
  </si>
  <si>
    <t>14#住宅楼-2-401</t>
  </si>
  <si>
    <t>14#住宅楼-2-402</t>
  </si>
  <si>
    <t>14#住宅楼-2-403</t>
  </si>
  <si>
    <t>14#住宅楼-2-404</t>
  </si>
  <si>
    <t>14#住宅楼-2-501</t>
  </si>
  <si>
    <t>14#住宅楼-2-502</t>
  </si>
  <si>
    <t>14#住宅楼-2-503</t>
  </si>
  <si>
    <t>14#住宅楼-2-504</t>
  </si>
  <si>
    <t>14#住宅楼-2-601</t>
  </si>
  <si>
    <t>14#住宅楼-2-602</t>
  </si>
  <si>
    <t>14#住宅楼-2-603</t>
  </si>
  <si>
    <t>14#住宅楼-2-604</t>
  </si>
  <si>
    <t>14#住宅楼-2-701</t>
  </si>
  <si>
    <t>14#住宅楼-2-702</t>
  </si>
  <si>
    <t>14#住宅楼-2-703</t>
  </si>
  <si>
    <t>14#住宅楼-2-704</t>
  </si>
  <si>
    <t>14#住宅楼-2-801</t>
  </si>
  <si>
    <t>14#住宅楼-2-802</t>
  </si>
  <si>
    <t>14#住宅楼-2-803</t>
  </si>
  <si>
    <t>14#住宅楼-2-804</t>
  </si>
  <si>
    <t>14#住宅楼-2-901</t>
  </si>
  <si>
    <t>14#住宅楼-2-902</t>
  </si>
  <si>
    <t>14#住宅楼-2-903</t>
  </si>
  <si>
    <t>14#住宅楼-2-904</t>
  </si>
  <si>
    <t>14#住宅楼-2-1001</t>
  </si>
  <si>
    <t>14#住宅楼-2-1002</t>
  </si>
  <si>
    <t>14#住宅楼-2-1003</t>
  </si>
  <si>
    <t>14#住宅楼-2-1004</t>
  </si>
  <si>
    <t>14#住宅楼-2-1101</t>
  </si>
  <si>
    <t>14#住宅楼-2-1102</t>
  </si>
  <si>
    <t>14#住宅楼-2-1103</t>
  </si>
  <si>
    <t>14#住宅楼-2-1104</t>
  </si>
  <si>
    <t>14#住宅楼-2-1201</t>
  </si>
  <si>
    <t>14#住宅楼-2-1202</t>
  </si>
  <si>
    <t>14#住宅楼-2-1203</t>
  </si>
  <si>
    <t>14#住宅楼-2-1204</t>
  </si>
  <si>
    <t>14#住宅楼-2-1301</t>
  </si>
  <si>
    <t>14#住宅楼-2-1302</t>
  </si>
  <si>
    <t>14#住宅楼-2-1303</t>
  </si>
  <si>
    <t>14#住宅楼-2-1304</t>
  </si>
  <si>
    <t>14#住宅楼-2-1401</t>
  </si>
  <si>
    <t>14#住宅楼-2-1402</t>
  </si>
  <si>
    <t>14#住宅楼-2-1403</t>
  </si>
  <si>
    <t>14#住宅楼-2-1404</t>
  </si>
  <si>
    <t>14#住宅楼-2-1501</t>
  </si>
  <si>
    <t>14#住宅楼-2-1502</t>
  </si>
  <si>
    <t>14#住宅楼-2-1503</t>
  </si>
  <si>
    <t>14#住宅楼-2-1504</t>
  </si>
  <si>
    <t>14#住宅楼-3-101</t>
  </si>
  <si>
    <t>14#住宅楼-3-102</t>
  </si>
  <si>
    <t>14#住宅楼-3-103</t>
  </si>
  <si>
    <t>14#住宅楼-3-104</t>
  </si>
  <si>
    <t>14#住宅楼-3-201</t>
  </si>
  <si>
    <t>14#住宅楼-3-202</t>
  </si>
  <si>
    <t>14#住宅楼-3-203</t>
  </si>
  <si>
    <t>14#住宅楼-3-204</t>
  </si>
  <si>
    <t>14#住宅楼-3-301</t>
  </si>
  <si>
    <t>14#住宅楼-3-302</t>
  </si>
  <si>
    <t>14#住宅楼-3-303</t>
  </si>
  <si>
    <t>14#住宅楼-3-304</t>
  </si>
  <si>
    <t>14#住宅楼-3-401</t>
  </si>
  <si>
    <t>14#住宅楼-3-402</t>
  </si>
  <si>
    <t>14#住宅楼-3-403</t>
  </si>
  <si>
    <t>14#住宅楼-3-404</t>
  </si>
  <si>
    <t>14#住宅楼-3-501</t>
  </si>
  <si>
    <t>14#住宅楼-3-502</t>
  </si>
  <si>
    <t>14#住宅楼-3-503</t>
  </si>
  <si>
    <t>14#住宅楼-3-504</t>
  </si>
  <si>
    <t>14#住宅楼-3-601</t>
  </si>
  <si>
    <t>14#住宅楼-3-602</t>
  </si>
  <si>
    <t>14#住宅楼-3-603</t>
  </si>
  <si>
    <t>14#住宅楼-3-604</t>
  </si>
  <si>
    <t>14#住宅楼-3-701</t>
  </si>
  <si>
    <t>14#住宅楼-3-702</t>
  </si>
  <si>
    <t>14#住宅楼-3-703</t>
  </si>
  <si>
    <t>14#住宅楼-3-704</t>
  </si>
  <si>
    <t>14#住宅楼-3-801</t>
  </si>
  <si>
    <t>14#住宅楼-3-802</t>
  </si>
  <si>
    <t>14#住宅楼-3-803</t>
  </si>
  <si>
    <t>14#住宅楼-3-804</t>
  </si>
  <si>
    <t>14#住宅楼-3-901</t>
  </si>
  <si>
    <t>14#住宅楼-3-902</t>
  </si>
  <si>
    <t>14#住宅楼-3-903</t>
  </si>
  <si>
    <t>14#住宅楼-3-904</t>
  </si>
  <si>
    <t>14#住宅楼-3-1001</t>
  </si>
  <si>
    <t>14#住宅楼-3-1002</t>
  </si>
  <si>
    <t>14#住宅楼-3-1003</t>
  </si>
  <si>
    <t>14#住宅楼-3-1004</t>
  </si>
  <si>
    <t>14#住宅楼-3-1101</t>
  </si>
  <si>
    <t>14#住宅楼-3-1102</t>
  </si>
  <si>
    <t>14#住宅楼-3-1103</t>
  </si>
  <si>
    <t>14#住宅楼-3-1104</t>
  </si>
  <si>
    <t>14#住宅楼-3-1201</t>
  </si>
  <si>
    <t>14#住宅楼-3-1202</t>
  </si>
  <si>
    <t>14#住宅楼-3-1203</t>
  </si>
  <si>
    <t>14#住宅楼-3-1204</t>
  </si>
  <si>
    <t>14#住宅楼-3-1301</t>
  </si>
  <si>
    <t>14#住宅楼-3-1302</t>
  </si>
  <si>
    <t>13#住宅楼</t>
  </si>
  <si>
    <t>14#住宅楼-3-1303</t>
  </si>
  <si>
    <t>14#住宅楼-3-1304</t>
  </si>
  <si>
    <t>14#住宅楼-3-1401</t>
  </si>
  <si>
    <t>14#住宅楼-3-1402</t>
  </si>
  <si>
    <t>14#住宅楼-3-1403</t>
  </si>
  <si>
    <t>14#住宅楼-3-1404</t>
  </si>
  <si>
    <t>14#住宅楼-3-1501</t>
  </si>
  <si>
    <t>14#住宅楼-3-1502</t>
  </si>
  <si>
    <t>14#住宅楼-3-1503</t>
  </si>
  <si>
    <t>14#住宅楼-3-1504</t>
  </si>
  <si>
    <t>15#住宅楼-101</t>
  </si>
  <si>
    <t>15#住宅楼-102</t>
  </si>
  <si>
    <t>15#住宅楼-103</t>
  </si>
  <si>
    <t>15#住宅楼-104</t>
  </si>
  <si>
    <t>15#住宅楼-201</t>
  </si>
  <si>
    <t>15#住宅楼-202</t>
  </si>
  <si>
    <t>15#住宅楼-203</t>
  </si>
  <si>
    <t>15#住宅楼-204</t>
  </si>
  <si>
    <t>15#住宅楼-301</t>
  </si>
  <si>
    <t>15#住宅楼-302</t>
  </si>
  <si>
    <t>15#住宅楼-303</t>
  </si>
  <si>
    <t>15#住宅楼-304</t>
  </si>
  <si>
    <t>15#住宅楼-401</t>
  </si>
  <si>
    <t>15#住宅楼-402</t>
  </si>
  <si>
    <t>15#住宅楼-403</t>
  </si>
  <si>
    <t>15#住宅楼-404</t>
  </si>
  <si>
    <t>15#住宅楼-501</t>
  </si>
  <si>
    <t>15#住宅楼-502</t>
  </si>
  <si>
    <t>15#住宅楼-503</t>
  </si>
  <si>
    <t>15#住宅楼-504</t>
  </si>
  <si>
    <t>地下车库南区</t>
  </si>
  <si>
    <t>15#住宅楼-601</t>
  </si>
  <si>
    <t>15#住宅楼-602</t>
  </si>
  <si>
    <t>15#住宅楼-603</t>
  </si>
  <si>
    <t>15#住宅楼-604</t>
  </si>
  <si>
    <t>15#住宅楼-701</t>
  </si>
  <si>
    <t>15#住宅楼-702</t>
  </si>
  <si>
    <t>15#住宅楼-703</t>
  </si>
  <si>
    <t>15#住宅楼-704</t>
  </si>
  <si>
    <t>15#住宅楼-801</t>
  </si>
  <si>
    <t>15#住宅楼-802</t>
  </si>
  <si>
    <t>15#住宅楼-803</t>
  </si>
  <si>
    <t>15#住宅楼-804</t>
  </si>
  <si>
    <t>15#住宅楼-901</t>
  </si>
  <si>
    <t>15#住宅楼-902</t>
  </si>
  <si>
    <t>15#住宅楼-903</t>
  </si>
  <si>
    <t>15#住宅楼-904</t>
  </si>
  <si>
    <t>15#住宅楼-1001</t>
  </si>
  <si>
    <t>15#住宅楼-1002</t>
  </si>
  <si>
    <t>15#住宅楼-1003</t>
  </si>
  <si>
    <t>15#住宅楼-1004</t>
  </si>
  <si>
    <t>15#住宅楼-1101</t>
  </si>
  <si>
    <t>15#住宅楼-1102</t>
  </si>
  <si>
    <t>15#住宅楼-1103</t>
  </si>
  <si>
    <t>15#住宅楼-1104</t>
  </si>
  <si>
    <t>15#住宅楼-1201</t>
  </si>
  <si>
    <t>15#住宅楼-1202</t>
  </si>
  <si>
    <t>15#住宅楼-1203</t>
  </si>
  <si>
    <t>15#住宅楼-1204</t>
  </si>
  <si>
    <t>15#住宅楼-1301</t>
  </si>
  <si>
    <t>15#住宅楼-1302</t>
  </si>
  <si>
    <t>15#住宅楼-1303</t>
  </si>
  <si>
    <t>15#住宅楼-1304</t>
  </si>
  <si>
    <t>15#住宅楼-1401</t>
  </si>
  <si>
    <t>15#住宅楼-1402</t>
  </si>
  <si>
    <t>15#住宅楼-1403</t>
  </si>
  <si>
    <t>15#住宅楼-1404</t>
  </si>
  <si>
    <t>15#住宅楼-1501</t>
  </si>
  <si>
    <t>15#住宅楼-1502</t>
  </si>
  <si>
    <t>15#住宅楼-1503</t>
  </si>
  <si>
    <t>15#住宅楼-1504</t>
  </si>
  <si>
    <t>16#住宅楼-101</t>
  </si>
  <si>
    <t>16#住宅楼-102</t>
  </si>
  <si>
    <t>16#住宅楼-103</t>
  </si>
  <si>
    <t>16#住宅楼-104</t>
  </si>
  <si>
    <t>16#住宅楼-201</t>
  </si>
  <si>
    <t>16#住宅楼-202</t>
  </si>
  <si>
    <t>16#住宅楼-203</t>
  </si>
  <si>
    <t>16#住宅楼-204</t>
  </si>
  <si>
    <t>16#住宅楼-301</t>
  </si>
  <si>
    <t>16#住宅楼-302</t>
  </si>
  <si>
    <t>16#住宅楼-303</t>
  </si>
  <si>
    <t>16#住宅楼-304</t>
  </si>
  <si>
    <t>16#住宅楼-401</t>
  </si>
  <si>
    <t>16#住宅楼-402</t>
  </si>
  <si>
    <t>16#住宅楼-403</t>
  </si>
  <si>
    <t>16#住宅楼-404</t>
  </si>
  <si>
    <t>16#住宅楼-501</t>
  </si>
  <si>
    <t>16#住宅楼-502</t>
  </si>
  <si>
    <t>16#住宅楼-503</t>
  </si>
  <si>
    <t>16#住宅楼-504</t>
  </si>
  <si>
    <t>16#住宅楼-601</t>
  </si>
  <si>
    <t>16#住宅楼-602</t>
  </si>
  <si>
    <t>16#住宅楼-603</t>
  </si>
  <si>
    <t>16#住宅楼-604</t>
  </si>
  <si>
    <t>16#住宅楼-701</t>
  </si>
  <si>
    <t>16#住宅楼-702</t>
  </si>
  <si>
    <t>16#住宅楼-703</t>
  </si>
  <si>
    <t>16#住宅楼-704</t>
  </si>
  <si>
    <t>16#住宅楼-801</t>
  </si>
  <si>
    <t>16#住宅楼-802</t>
  </si>
  <si>
    <t>16#住宅楼-803</t>
  </si>
  <si>
    <t>16#住宅楼-804</t>
  </si>
  <si>
    <t>16#住宅楼-901</t>
  </si>
  <si>
    <t>16#住宅楼-902</t>
  </si>
  <si>
    <t>16#住宅楼-903</t>
  </si>
  <si>
    <t>16#住宅楼-904</t>
  </si>
  <si>
    <t>16#住宅楼-1001</t>
  </si>
  <si>
    <t>16#住宅楼-1002</t>
  </si>
  <si>
    <t>16#住宅楼-1003</t>
  </si>
  <si>
    <t>16#住宅楼-1004</t>
  </si>
  <si>
    <t>16#住宅楼-1101</t>
  </si>
  <si>
    <t>16#住宅楼-1102</t>
  </si>
  <si>
    <t>16#住宅楼-1103</t>
  </si>
  <si>
    <t>16#住宅楼-1104</t>
  </si>
  <si>
    <t>16#住宅楼-1201</t>
  </si>
  <si>
    <t>16#住宅楼-1202</t>
  </si>
  <si>
    <t>16#住宅楼-1203</t>
  </si>
  <si>
    <t>16#住宅楼-1204</t>
  </si>
  <si>
    <t>16#住宅楼-1301</t>
  </si>
  <si>
    <t>16#住宅楼-1302</t>
  </si>
  <si>
    <t>16#住宅楼-1303</t>
  </si>
  <si>
    <t>16#住宅楼-1304</t>
  </si>
  <si>
    <t>16#住宅楼-1401</t>
  </si>
  <si>
    <t>16#住宅楼-1402</t>
  </si>
  <si>
    <t>16#住宅楼-1403</t>
  </si>
  <si>
    <t>16#住宅楼-1404</t>
  </si>
  <si>
    <t>16#住宅楼-1501</t>
  </si>
  <si>
    <t>16#住宅楼-1502</t>
  </si>
  <si>
    <t>16#住宅楼-1503</t>
  </si>
  <si>
    <t>16#住宅楼-1504</t>
  </si>
  <si>
    <t>14#住宅楼</t>
  </si>
  <si>
    <t>17#住宅楼-101</t>
  </si>
  <si>
    <t>17#住宅楼-102</t>
  </si>
  <si>
    <t>17#住宅楼-103</t>
  </si>
  <si>
    <t>17#住宅楼-104</t>
  </si>
  <si>
    <t>17#住宅楼-201</t>
  </si>
  <si>
    <t>17#住宅楼-202</t>
  </si>
  <si>
    <t>17#住宅楼-203</t>
  </si>
  <si>
    <t>17#住宅楼-204</t>
  </si>
  <si>
    <t>17#住宅楼-301</t>
  </si>
  <si>
    <t>17#住宅楼-302</t>
  </si>
  <si>
    <t>17#住宅楼-303</t>
  </si>
  <si>
    <t>17#住宅楼-304</t>
  </si>
  <si>
    <t>17#住宅楼-401</t>
  </si>
  <si>
    <t>17#住宅楼-402</t>
  </si>
  <si>
    <t>17#住宅楼-403</t>
  </si>
  <si>
    <t>17#住宅楼-404</t>
  </si>
  <si>
    <t>17#住宅楼-501</t>
  </si>
  <si>
    <t>17#住宅楼-502</t>
  </si>
  <si>
    <t>17#住宅楼-503</t>
  </si>
  <si>
    <t>17#住宅楼-504</t>
  </si>
  <si>
    <t>17#住宅楼-601</t>
  </si>
  <si>
    <t>17#住宅楼-602</t>
  </si>
  <si>
    <t>17#住宅楼-603</t>
  </si>
  <si>
    <t>17#住宅楼-604</t>
  </si>
  <si>
    <t>17#住宅楼-701</t>
  </si>
  <si>
    <t>17#住宅楼-702</t>
  </si>
  <si>
    <t>17#住宅楼-703</t>
  </si>
  <si>
    <t>17#住宅楼-704</t>
  </si>
  <si>
    <t>17#住宅楼-801</t>
  </si>
  <si>
    <t>17#住宅楼-802</t>
  </si>
  <si>
    <t>17#住宅楼-803</t>
  </si>
  <si>
    <t>17#住宅楼-804</t>
  </si>
  <si>
    <t>17#住宅楼-901</t>
  </si>
  <si>
    <t>17#住宅楼-902</t>
  </si>
  <si>
    <t>17#住宅楼-903</t>
  </si>
  <si>
    <t>17#住宅楼-904</t>
  </si>
  <si>
    <t>17#住宅楼-1001</t>
  </si>
  <si>
    <t>17#住宅楼-1002</t>
  </si>
  <si>
    <t>17#住宅楼-1003</t>
  </si>
  <si>
    <t>17#住宅楼-1004</t>
  </si>
  <si>
    <t>17#住宅楼-1101</t>
  </si>
  <si>
    <t>17#住宅楼-1102</t>
  </si>
  <si>
    <t>17#住宅楼-1103</t>
  </si>
  <si>
    <t>17#住宅楼-1104</t>
  </si>
  <si>
    <t>17#住宅楼-1201</t>
  </si>
  <si>
    <t>17#住宅楼-1202</t>
  </si>
  <si>
    <t>17#住宅楼-1203</t>
  </si>
  <si>
    <t>17#住宅楼-1204</t>
  </si>
  <si>
    <t>17#住宅楼-1301</t>
  </si>
  <si>
    <t>17#住宅楼-1302</t>
  </si>
  <si>
    <t>17#住宅楼-1303</t>
  </si>
  <si>
    <t>17#住宅楼-1304</t>
  </si>
  <si>
    <t>17#住宅楼-1401</t>
  </si>
  <si>
    <t>17#住宅楼-1402</t>
  </si>
  <si>
    <t>17#住宅楼-1403</t>
  </si>
  <si>
    <t>17#住宅楼-1404</t>
  </si>
  <si>
    <t>17#住宅楼-1501</t>
  </si>
  <si>
    <t>17#住宅楼-1502</t>
  </si>
  <si>
    <t>17#住宅楼-1503</t>
  </si>
  <si>
    <t>17#住宅楼-1504</t>
  </si>
  <si>
    <t>18#住宅楼-101</t>
  </si>
  <si>
    <t>18#住宅楼-102</t>
  </si>
  <si>
    <t>18#住宅楼-103</t>
  </si>
  <si>
    <t>18#住宅楼-104</t>
  </si>
  <si>
    <t>18#住宅楼-201</t>
  </si>
  <si>
    <t>18#住宅楼-202</t>
  </si>
  <si>
    <t>18#住宅楼-203</t>
  </si>
  <si>
    <t>18#住宅楼-204</t>
  </si>
  <si>
    <t>18#住宅楼-301</t>
  </si>
  <si>
    <t>18#住宅楼-302</t>
  </si>
  <si>
    <t>18#住宅楼-303</t>
  </si>
  <si>
    <t>18#住宅楼-304</t>
  </si>
  <si>
    <t>18#住宅楼-401</t>
  </si>
  <si>
    <t>18#住宅楼-402</t>
  </si>
  <si>
    <t>18#住宅楼-403</t>
  </si>
  <si>
    <t>18#住宅楼-404</t>
  </si>
  <si>
    <t>18#住宅楼-501</t>
  </si>
  <si>
    <t>18#住宅楼-502</t>
  </si>
  <si>
    <t>18#住宅楼-503</t>
  </si>
  <si>
    <t>18#住宅楼-504</t>
  </si>
  <si>
    <t>18#住宅楼-601</t>
  </si>
  <si>
    <t>18#住宅楼-602</t>
  </si>
  <si>
    <t>18#住宅楼-603</t>
  </si>
  <si>
    <t>18#住宅楼-604</t>
  </si>
  <si>
    <t>18#住宅楼-701</t>
  </si>
  <si>
    <t>18#住宅楼-702</t>
  </si>
  <si>
    <t>18#住宅楼-703</t>
  </si>
  <si>
    <t>18#住宅楼-704</t>
  </si>
  <si>
    <t>18#住宅楼-801</t>
  </si>
  <si>
    <t>18#住宅楼-802</t>
  </si>
  <si>
    <t>18#住宅楼-803</t>
  </si>
  <si>
    <t>18#住宅楼-804</t>
  </si>
  <si>
    <t>18#住宅楼-901</t>
  </si>
  <si>
    <t>18#住宅楼-902</t>
  </si>
  <si>
    <t>18#住宅楼-903</t>
  </si>
  <si>
    <t>18#住宅楼-904</t>
  </si>
  <si>
    <t>18#住宅楼-1001</t>
  </si>
  <si>
    <t>18#住宅楼-1002</t>
  </si>
  <si>
    <t>18#住宅楼-1003</t>
  </si>
  <si>
    <t>18#住宅楼-1004</t>
  </si>
  <si>
    <t>18#住宅楼-1101</t>
  </si>
  <si>
    <t>18#住宅楼-1102</t>
  </si>
  <si>
    <t>18#住宅楼-1103</t>
  </si>
  <si>
    <t>18#住宅楼-1104</t>
  </si>
  <si>
    <t>18#住宅楼-1201</t>
  </si>
  <si>
    <t>18#住宅楼-1202</t>
  </si>
  <si>
    <t>18#住宅楼-1203</t>
  </si>
  <si>
    <t>18#住宅楼-1204</t>
  </si>
  <si>
    <t>18#住宅楼-1301</t>
  </si>
  <si>
    <t>18#住宅楼-1302</t>
  </si>
  <si>
    <t>18#住宅楼-1303</t>
  </si>
  <si>
    <t>18#住宅楼-1304</t>
  </si>
  <si>
    <t>18#住宅楼-1401</t>
  </si>
  <si>
    <t>18#住宅楼-1402</t>
  </si>
  <si>
    <t>18#住宅楼-1403</t>
  </si>
  <si>
    <t>18#住宅楼-1404</t>
  </si>
  <si>
    <t>18#住宅楼-1501</t>
  </si>
  <si>
    <t>18#住宅楼-1502</t>
  </si>
  <si>
    <t>18#住宅楼-1503</t>
  </si>
  <si>
    <t>18#住宅楼-1504</t>
  </si>
  <si>
    <t>19#住宅楼-1-101</t>
  </si>
  <si>
    <t>19#住宅楼-1-102</t>
  </si>
  <si>
    <t>19#住宅楼-1-103</t>
  </si>
  <si>
    <t>19#住宅楼-1-104</t>
  </si>
  <si>
    <t>19#住宅楼-1-201</t>
  </si>
  <si>
    <t>19#住宅楼-1-202</t>
  </si>
  <si>
    <t>19#住宅楼-1-203</t>
  </si>
  <si>
    <t>19#住宅楼-1-204</t>
  </si>
  <si>
    <t>19#住宅楼-1-301</t>
  </si>
  <si>
    <t>19#住宅楼-1-302</t>
  </si>
  <si>
    <t>19#住宅楼-1-303</t>
  </si>
  <si>
    <t>19#住宅楼-1-304</t>
  </si>
  <si>
    <t>19#住宅楼-1-401</t>
  </si>
  <si>
    <t>19#住宅楼-1-402</t>
  </si>
  <si>
    <t>19#住宅楼-1-403</t>
  </si>
  <si>
    <t>19#住宅楼-1-404</t>
  </si>
  <si>
    <t>19#住宅楼-1-501</t>
  </si>
  <si>
    <t>19#住宅楼-1-502</t>
  </si>
  <si>
    <t>19#住宅楼-1-503</t>
  </si>
  <si>
    <t>19#住宅楼-1-504</t>
  </si>
  <si>
    <t>19#住宅楼-1-601</t>
  </si>
  <si>
    <t>19#住宅楼-1-602</t>
  </si>
  <si>
    <t>19#住宅楼-1-603</t>
  </si>
  <si>
    <t>19#住宅楼-1-604</t>
  </si>
  <si>
    <t>19#住宅楼-1-701</t>
  </si>
  <si>
    <t>19#住宅楼-1-702</t>
  </si>
  <si>
    <t>19#住宅楼-1-703</t>
  </si>
  <si>
    <t>19#住宅楼-1-704</t>
  </si>
  <si>
    <t>19#住宅楼-1-801</t>
  </si>
  <si>
    <t>19#住宅楼-1-802</t>
  </si>
  <si>
    <t>19#住宅楼-1-803</t>
  </si>
  <si>
    <t>19#住宅楼-1-804</t>
  </si>
  <si>
    <t>19#住宅楼-1-901</t>
  </si>
  <si>
    <t>15#住宅楼</t>
  </si>
  <si>
    <t>19#住宅楼-1-902</t>
  </si>
  <si>
    <t>19#住宅楼-1-903</t>
  </si>
  <si>
    <t>19#住宅楼-1-904</t>
  </si>
  <si>
    <t>19#住宅楼-1-1001</t>
  </si>
  <si>
    <t>19#住宅楼-1-1002</t>
  </si>
  <si>
    <t>19#住宅楼-1-1003</t>
  </si>
  <si>
    <t>19#住宅楼-1-1004</t>
  </si>
  <si>
    <t>19#住宅楼-1-1101</t>
  </si>
  <si>
    <t>19#住宅楼-1-1102</t>
  </si>
  <si>
    <t>19#住宅楼-1-1103</t>
  </si>
  <si>
    <t>19#住宅楼-1-1104</t>
  </si>
  <si>
    <t>19#住宅楼-1-1201</t>
  </si>
  <si>
    <t>19#住宅楼-1-1202</t>
  </si>
  <si>
    <t>19#住宅楼-1-1203</t>
  </si>
  <si>
    <t>19#住宅楼-1-1204</t>
  </si>
  <si>
    <t>19#住宅楼-1-1301</t>
  </si>
  <si>
    <t>19#住宅楼-1-1302</t>
  </si>
  <si>
    <t>19#住宅楼-1-1303</t>
  </si>
  <si>
    <t>19#住宅楼-1-1304</t>
  </si>
  <si>
    <t>19#住宅楼-1-1401</t>
  </si>
  <si>
    <t>19#住宅楼-1-1402</t>
  </si>
  <si>
    <t>19#住宅楼-1-1403</t>
  </si>
  <si>
    <t>19#住宅楼-1-1404</t>
  </si>
  <si>
    <t>19#住宅楼-2-101</t>
  </si>
  <si>
    <t>19#住宅楼-2-102</t>
  </si>
  <si>
    <t>19#住宅楼-2-103</t>
  </si>
  <si>
    <t>16#住宅楼</t>
  </si>
  <si>
    <t>19#住宅楼-2-104</t>
  </si>
  <si>
    <t>19#住宅楼-2-201</t>
  </si>
  <si>
    <t>19#住宅楼-2-202</t>
  </si>
  <si>
    <t>19#住宅楼-2-203</t>
  </si>
  <si>
    <t>19#住宅楼-2-204</t>
  </si>
  <si>
    <t>19#住宅楼-2-301</t>
  </si>
  <si>
    <t>19#住宅楼-2-302</t>
  </si>
  <si>
    <t>19#住宅楼-2-303</t>
  </si>
  <si>
    <t>19#住宅楼-2-304</t>
  </si>
  <si>
    <t>19#住宅楼-2-401</t>
  </si>
  <si>
    <t>19#住宅楼-2-402</t>
  </si>
  <si>
    <t>19#住宅楼-2-403</t>
  </si>
  <si>
    <t>19#住宅楼-2-404</t>
  </si>
  <si>
    <t>19#住宅楼-2-501</t>
  </si>
  <si>
    <t>19#住宅楼-2-502</t>
  </si>
  <si>
    <t>19#住宅楼-2-503</t>
  </si>
  <si>
    <t>19#住宅楼-2-504</t>
  </si>
  <si>
    <t>19#住宅楼-2-601</t>
  </si>
  <si>
    <t>19#住宅楼-2-602</t>
  </si>
  <si>
    <t>19#住宅楼-2-603</t>
  </si>
  <si>
    <t>19#住宅楼-2-604</t>
  </si>
  <si>
    <t>19#住宅楼-2-701</t>
  </si>
  <si>
    <t>19#住宅楼-2-702</t>
  </si>
  <si>
    <t>19#住宅楼-2-703</t>
  </si>
  <si>
    <t>19#住宅楼-2-704</t>
  </si>
  <si>
    <t>17#住宅楼</t>
  </si>
  <si>
    <t>19#住宅楼-2-801</t>
  </si>
  <si>
    <t>19#住宅楼-2-802</t>
  </si>
  <si>
    <t>19#住宅楼-2-803</t>
  </si>
  <si>
    <t>19#住宅楼-2-804</t>
  </si>
  <si>
    <t>19#住宅楼-2-901</t>
  </si>
  <si>
    <t>19#住宅楼-2-902</t>
  </si>
  <si>
    <t>19#住宅楼-2-903</t>
  </si>
  <si>
    <t>19#住宅楼-2-904</t>
  </si>
  <si>
    <t>19#住宅楼-2-1001</t>
  </si>
  <si>
    <t>19#住宅楼-2-1002</t>
  </si>
  <si>
    <t>19#住宅楼-2-1003</t>
  </si>
  <si>
    <t>19#住宅楼-2-1004</t>
  </si>
  <si>
    <t>19#住宅楼-2-1101</t>
  </si>
  <si>
    <t>19#住宅楼-2-1102</t>
  </si>
  <si>
    <t>19#住宅楼-2-1103</t>
  </si>
  <si>
    <t>19#住宅楼-2-1104</t>
  </si>
  <si>
    <t>19#住宅楼-2-1201</t>
  </si>
  <si>
    <t>19#住宅楼-2-1202</t>
  </si>
  <si>
    <t>19#住宅楼-2-1203</t>
  </si>
  <si>
    <t>19#住宅楼-2-1204</t>
  </si>
  <si>
    <t>19#住宅楼-2-1301</t>
  </si>
  <si>
    <t>19#住宅楼-2-1302</t>
  </si>
  <si>
    <t>19#住宅楼-2-1303</t>
  </si>
  <si>
    <t>19#住宅楼-2-1304</t>
  </si>
  <si>
    <t>19#住宅楼-2-1401</t>
  </si>
  <si>
    <t>18#住宅楼</t>
  </si>
  <si>
    <t>19#住宅楼-2-1402</t>
  </si>
  <si>
    <t>19#住宅楼-2-1403</t>
  </si>
  <si>
    <t>19#住宅楼-2-1404</t>
  </si>
  <si>
    <t>19#住宅楼-3-101</t>
  </si>
  <si>
    <t>19#住宅楼-3-102</t>
  </si>
  <si>
    <t>19#住宅楼-3-103</t>
  </si>
  <si>
    <t>19#住宅楼-3-104</t>
  </si>
  <si>
    <t>19#住宅楼-3-201</t>
  </si>
  <si>
    <t>19#住宅楼-3-202</t>
  </si>
  <si>
    <t>19#住宅楼-3-203</t>
  </si>
  <si>
    <t>19#住宅楼-3-204</t>
  </si>
  <si>
    <t>19#住宅楼-3-301</t>
  </si>
  <si>
    <t>19#住宅楼-3-302</t>
  </si>
  <si>
    <t>19#住宅楼-3-303</t>
  </si>
  <si>
    <t>19#住宅楼-3-304</t>
  </si>
  <si>
    <t>19#住宅楼-3-401</t>
  </si>
  <si>
    <t>19#住宅楼-3-402</t>
  </si>
  <si>
    <t>19#住宅楼-3-403</t>
  </si>
  <si>
    <t>19#住宅楼-3-404</t>
  </si>
  <si>
    <t>19#住宅楼-3-501</t>
  </si>
  <si>
    <t>19#住宅楼-3-502</t>
  </si>
  <si>
    <t>19#住宅楼-3-503</t>
  </si>
  <si>
    <t>19#住宅楼-3-504</t>
  </si>
  <si>
    <t>19#住宅楼-3-601</t>
  </si>
  <si>
    <t>19#住宅楼-3-602</t>
  </si>
  <si>
    <t>19#住宅楼-3-603</t>
  </si>
  <si>
    <t>19#住宅楼</t>
  </si>
  <si>
    <t>19#住宅楼-3-604</t>
  </si>
  <si>
    <t>19#住宅楼-3-701</t>
  </si>
  <si>
    <t>19#住宅楼-3-702</t>
  </si>
  <si>
    <t>19#住宅楼-3-703</t>
  </si>
  <si>
    <t>19#住宅楼-3-704</t>
  </si>
  <si>
    <t>19#住宅楼-3-801</t>
  </si>
  <si>
    <t>19#住宅楼-3-802</t>
  </si>
  <si>
    <t>19#住宅楼-3-803</t>
  </si>
  <si>
    <t>19#住宅楼-3-804</t>
  </si>
  <si>
    <t>19#住宅楼-3-901</t>
  </si>
  <si>
    <t>19#住宅楼-3-902</t>
  </si>
  <si>
    <t>19#住宅楼-3-903</t>
  </si>
  <si>
    <t>19#住宅楼-3-904</t>
  </si>
  <si>
    <t>19#住宅楼-3-1001</t>
  </si>
  <si>
    <t>19#住宅楼-3-1002</t>
  </si>
  <si>
    <t>19#住宅楼-3-1003</t>
  </si>
  <si>
    <t>19#住宅楼-3-1004</t>
  </si>
  <si>
    <t>19#住宅楼-3-1101</t>
  </si>
  <si>
    <t>19#住宅楼-3-1102</t>
  </si>
  <si>
    <t>19#住宅楼-3-1103</t>
  </si>
  <si>
    <t>19#住宅楼-3-1104</t>
  </si>
  <si>
    <t>19#住宅楼-3-1201</t>
  </si>
  <si>
    <t>19#住宅楼-3-1202</t>
  </si>
  <si>
    <t>19#住宅楼-3-1203</t>
  </si>
  <si>
    <t>19#住宅楼-3-1204</t>
  </si>
  <si>
    <t>19#住宅楼-3-1301</t>
  </si>
  <si>
    <t>19#住宅楼-3-1302</t>
  </si>
  <si>
    <t>19#住宅楼-3-1303</t>
  </si>
  <si>
    <t>19#住宅楼-3-1304</t>
  </si>
  <si>
    <t>19#住宅楼-3-1401</t>
  </si>
  <si>
    <t>19#住宅楼-3-1402</t>
  </si>
  <si>
    <t>19#住宅楼-3-1403</t>
  </si>
  <si>
    <t>19#住宅楼-3-1404</t>
  </si>
  <si>
    <t>20#住宅楼-1-101</t>
  </si>
  <si>
    <t>20#住宅楼-1-102</t>
  </si>
  <si>
    <t>20#住宅楼-1-103</t>
  </si>
  <si>
    <t>20#住宅楼-1-104</t>
  </si>
  <si>
    <t>20#住宅楼-1-201</t>
  </si>
  <si>
    <t>20#住宅楼-1-202</t>
  </si>
  <si>
    <t>20#住宅楼-1-203</t>
  </si>
  <si>
    <t>20#住宅楼-1-204</t>
  </si>
  <si>
    <t>20#住宅楼-1-301</t>
  </si>
  <si>
    <t>20#住宅楼-1-302</t>
  </si>
  <si>
    <t>20#住宅楼-1-303</t>
  </si>
  <si>
    <t>20#住宅楼-1-304</t>
  </si>
  <si>
    <t>20#住宅楼-1-401</t>
  </si>
  <si>
    <t>20#住宅楼-1-402</t>
  </si>
  <si>
    <t>20#住宅楼-1-403</t>
  </si>
  <si>
    <t>20#住宅楼-1-404</t>
  </si>
  <si>
    <t>20#住宅楼-1-501</t>
  </si>
  <si>
    <t>20#住宅楼-1-502</t>
  </si>
  <si>
    <t>20#住宅楼-1-503</t>
  </si>
  <si>
    <t>20#住宅楼-1-504</t>
  </si>
  <si>
    <t>20#住宅楼-1-601</t>
  </si>
  <si>
    <t>20#住宅楼-1-602</t>
  </si>
  <si>
    <t>20#住宅楼-1-603</t>
  </si>
  <si>
    <t>20#住宅楼-1-604</t>
  </si>
  <si>
    <t>20#住宅楼-1-701</t>
  </si>
  <si>
    <t>20#住宅楼-1-702</t>
  </si>
  <si>
    <t>20#住宅楼-1-703</t>
  </si>
  <si>
    <t>20#住宅楼-1-704</t>
  </si>
  <si>
    <t>20#住宅楼-1-801</t>
  </si>
  <si>
    <t>20#住宅楼-1-802</t>
  </si>
  <si>
    <t>20#住宅楼-1-803</t>
  </si>
  <si>
    <t>20#住宅楼-1-804</t>
  </si>
  <si>
    <t>20#住宅楼-1-901</t>
  </si>
  <si>
    <t>20#住宅楼-1-902</t>
  </si>
  <si>
    <t>20#住宅楼-1-903</t>
  </si>
  <si>
    <t>20#住宅楼-1-904</t>
  </si>
  <si>
    <t>20#住宅楼-1-1001</t>
  </si>
  <si>
    <t>20#住宅楼-1-1002</t>
  </si>
  <si>
    <t>20#住宅楼-1-1003</t>
  </si>
  <si>
    <t>20#住宅楼-1-1004</t>
  </si>
  <si>
    <t>20#住宅楼-1-1101</t>
  </si>
  <si>
    <t>20#住宅楼-1-1102</t>
  </si>
  <si>
    <t>20#住宅楼-1-1103</t>
  </si>
  <si>
    <t>20#住宅楼-1-1104</t>
  </si>
  <si>
    <t>20#住宅楼-1-1201</t>
  </si>
  <si>
    <t>20#住宅楼-1-1202</t>
  </si>
  <si>
    <t>20#住宅楼-1-1203</t>
  </si>
  <si>
    <t>20#住宅楼-1-1204</t>
  </si>
  <si>
    <t>20#住宅楼-1-1301</t>
  </si>
  <si>
    <t>20#住宅楼-1-1302</t>
  </si>
  <si>
    <t>20#住宅楼-1-1303</t>
  </si>
  <si>
    <t>20#住宅楼-1-1304</t>
  </si>
  <si>
    <t>20#住宅楼-1-1401</t>
  </si>
  <si>
    <t>20#住宅楼-1-1402</t>
  </si>
  <si>
    <t>20#住宅楼-1-1403</t>
  </si>
  <si>
    <t>20#住宅楼-1-1404</t>
  </si>
  <si>
    <t>20#住宅楼-2-101</t>
  </si>
  <si>
    <t>20#住宅楼-2-102</t>
  </si>
  <si>
    <t>20#住宅楼-2-103</t>
  </si>
  <si>
    <t>20#住宅楼-2-104</t>
  </si>
  <si>
    <t>20#住宅楼-2-201</t>
  </si>
  <si>
    <t>20#住宅楼-2-202</t>
  </si>
  <si>
    <t>20#住宅楼-2-203</t>
  </si>
  <si>
    <t>20#住宅楼-2-204</t>
  </si>
  <si>
    <t>20#住宅楼-2-301</t>
  </si>
  <si>
    <t>20#住宅楼-2-302</t>
  </si>
  <si>
    <t>20#住宅楼-2-303</t>
  </si>
  <si>
    <t>20#住宅楼-2-304</t>
  </si>
  <si>
    <t>20#住宅楼-2-401</t>
  </si>
  <si>
    <t>20#住宅楼-2-402</t>
  </si>
  <si>
    <t>20#住宅楼-2-403</t>
  </si>
  <si>
    <t>20#住宅楼-2-404</t>
  </si>
  <si>
    <t>20#住宅楼-2-501</t>
  </si>
  <si>
    <t>20#住宅楼-2-502</t>
  </si>
  <si>
    <t>20#住宅楼-2-503</t>
  </si>
  <si>
    <t>20#住宅楼-2-504</t>
  </si>
  <si>
    <t>20#住宅楼-2-601</t>
  </si>
  <si>
    <t>20#住宅楼-2-602</t>
  </si>
  <si>
    <t>20#住宅楼-2-603</t>
  </si>
  <si>
    <t>20#住宅楼-2-604</t>
  </si>
  <si>
    <t>20#住宅楼-2-701</t>
  </si>
  <si>
    <t>20#住宅楼-2-702</t>
  </si>
  <si>
    <t>20#住宅楼</t>
  </si>
  <si>
    <t>20#住宅楼-2-703</t>
  </si>
  <si>
    <t>20#住宅楼-2-704</t>
  </si>
  <si>
    <t>20#住宅楼-2-801</t>
  </si>
  <si>
    <t>20#住宅楼-2-802</t>
  </si>
  <si>
    <t>20#住宅楼-2-803</t>
  </si>
  <si>
    <t>20#住宅楼-2-804</t>
  </si>
  <si>
    <t>20#住宅楼-2-901</t>
  </si>
  <si>
    <t>20#住宅楼-2-902</t>
  </si>
  <si>
    <t>20#住宅楼-2-903</t>
  </si>
  <si>
    <t>20#住宅楼-2-904</t>
  </si>
  <si>
    <t>20#住宅楼-2-1001</t>
  </si>
  <si>
    <t>20#住宅楼-2-1002</t>
  </si>
  <si>
    <t>20#住宅楼-2-1003</t>
  </si>
  <si>
    <t>20#住宅楼-2-1004</t>
  </si>
  <si>
    <t>20#住宅楼-2-1101</t>
  </si>
  <si>
    <t>20#住宅楼-2-1102</t>
  </si>
  <si>
    <t>20#住宅楼-2-1103</t>
  </si>
  <si>
    <t>20#住宅楼-2-1104</t>
  </si>
  <si>
    <t>20#住宅楼-2-1201</t>
  </si>
  <si>
    <t>20#住宅楼-2-1202</t>
  </si>
  <si>
    <t>20#住宅楼-2-1203</t>
  </si>
  <si>
    <t>20#住宅楼-2-1204</t>
  </si>
  <si>
    <t>20#住宅楼-2-1301</t>
  </si>
  <si>
    <t>20#住宅楼-2-1302</t>
  </si>
  <si>
    <t>20#住宅楼-2-1303</t>
  </si>
  <si>
    <t>20#住宅楼-2-1304</t>
  </si>
  <si>
    <t>20#住宅楼-2-1401</t>
  </si>
  <si>
    <t>20#住宅楼-2-1402</t>
  </si>
  <si>
    <t>20#住宅楼-2-1403</t>
  </si>
  <si>
    <t>20#住宅楼-2-1404</t>
  </si>
  <si>
    <t>21#住宅楼-1-101</t>
  </si>
  <si>
    <t>21#住宅楼-1-102</t>
  </si>
  <si>
    <t>21#住宅楼-1-103</t>
  </si>
  <si>
    <t>21#住宅楼-1-104</t>
  </si>
  <si>
    <t>21#住宅楼-1-201</t>
  </si>
  <si>
    <t>21#住宅楼-1-202</t>
  </si>
  <si>
    <t>21#住宅楼-1-203</t>
  </si>
  <si>
    <t>21#住宅楼-1-204</t>
  </si>
  <si>
    <t>21#住宅楼-1-301</t>
  </si>
  <si>
    <t>21#住宅楼-1-302</t>
  </si>
  <si>
    <t>21#住宅楼-1-303</t>
  </si>
  <si>
    <t>21#住宅楼-1-304</t>
  </si>
  <si>
    <t>21#住宅楼-1-401</t>
  </si>
  <si>
    <t>21#住宅楼-1-402</t>
  </si>
  <si>
    <t>21#住宅楼-1-403</t>
  </si>
  <si>
    <t>21#住宅楼-1-404</t>
  </si>
  <si>
    <t>21#住宅楼-1-501</t>
  </si>
  <si>
    <t>21#住宅楼-1-502</t>
  </si>
  <si>
    <t>21#住宅楼-1-503</t>
  </si>
  <si>
    <t>21#住宅楼-1-504</t>
  </si>
  <si>
    <t>21#住宅楼-1-601</t>
  </si>
  <si>
    <t>21#住宅楼-1-602</t>
  </si>
  <si>
    <t>21#住宅楼-1-603</t>
  </si>
  <si>
    <t>21#住宅楼-1-604</t>
  </si>
  <si>
    <t>21#住宅楼-1-701</t>
  </si>
  <si>
    <t>21#住宅楼-1-702</t>
  </si>
  <si>
    <t>21#住宅楼</t>
  </si>
  <si>
    <t>21#住宅楼-1-703</t>
  </si>
  <si>
    <t>21#住宅楼-1-704</t>
  </si>
  <si>
    <t>21#住宅楼-1-801</t>
  </si>
  <si>
    <t>21#住宅楼-1-802</t>
  </si>
  <si>
    <t>21#住宅楼-1-803</t>
  </si>
  <si>
    <t>21#住宅楼-1-804</t>
  </si>
  <si>
    <t>21#住宅楼-1-901</t>
  </si>
  <si>
    <t>21#住宅楼-1-902</t>
  </si>
  <si>
    <t>21#住宅楼-1-903</t>
  </si>
  <si>
    <t>21#住宅楼-1-904</t>
  </si>
  <si>
    <t>21#住宅楼-1-1001</t>
  </si>
  <si>
    <t>21#住宅楼-1-1002</t>
  </si>
  <si>
    <t>21#住宅楼-1-1003</t>
  </si>
  <si>
    <t>21#住宅楼-1-1004</t>
  </si>
  <si>
    <t>21#住宅楼-1-1101</t>
  </si>
  <si>
    <t>21#住宅楼-1-1102</t>
  </si>
  <si>
    <t>21#住宅楼-1-1103</t>
  </si>
  <si>
    <t>21#住宅楼-1-1104</t>
  </si>
  <si>
    <t>21#住宅楼-1-1201</t>
  </si>
  <si>
    <t>21#住宅楼-1-1202</t>
  </si>
  <si>
    <t>21#住宅楼-1-1203</t>
  </si>
  <si>
    <t>21#住宅楼-1-1204</t>
  </si>
  <si>
    <t>21#住宅楼-1-1301</t>
  </si>
  <si>
    <t>21#住宅楼-1-1302</t>
  </si>
  <si>
    <t>21#住宅楼-1-1303</t>
  </si>
  <si>
    <t>21#住宅楼-1-1304</t>
  </si>
  <si>
    <t>21#住宅楼-1-1401</t>
  </si>
  <si>
    <t>21#住宅楼-1-1402</t>
  </si>
  <si>
    <t>21#住宅楼-1-1403</t>
  </si>
  <si>
    <t>21#住宅楼-1-1404</t>
  </si>
  <si>
    <t>21#住宅楼-2-101</t>
  </si>
  <si>
    <t>21#住宅楼-2-102</t>
  </si>
  <si>
    <t>21#住宅楼-2-103</t>
  </si>
  <si>
    <t>21#住宅楼-2-104</t>
  </si>
  <si>
    <t>21#住宅楼-2-201</t>
  </si>
  <si>
    <t>21#住宅楼-2-202</t>
  </si>
  <si>
    <t>21#住宅楼-2-203</t>
  </si>
  <si>
    <t>21#住宅楼-2-204</t>
  </si>
  <si>
    <t>21#住宅楼-2-301</t>
  </si>
  <si>
    <t>21#住宅楼-2-302</t>
  </si>
  <si>
    <t>21#住宅楼-2-303</t>
  </si>
  <si>
    <t>21#住宅楼-2-304</t>
  </si>
  <si>
    <t>21#住宅楼-2-401</t>
  </si>
  <si>
    <t>21#住宅楼-2-402</t>
  </si>
  <si>
    <t>21#住宅楼-2-403</t>
  </si>
  <si>
    <t>21#住宅楼-2-404</t>
  </si>
  <si>
    <t>21#住宅楼-2-501</t>
  </si>
  <si>
    <t>21#住宅楼-2-502</t>
  </si>
  <si>
    <t>21#住宅楼-2-503</t>
  </si>
  <si>
    <t>21#住宅楼-2-504</t>
  </si>
  <si>
    <t>21#住宅楼-2-601</t>
  </si>
  <si>
    <t>21#住宅楼-2-602</t>
  </si>
  <si>
    <t>21#住宅楼-2-603</t>
  </si>
  <si>
    <t>21#住宅楼-2-604</t>
  </si>
  <si>
    <t>21#住宅楼-2-701</t>
  </si>
  <si>
    <t>21#住宅楼-2-702</t>
  </si>
  <si>
    <t>21#住宅楼-2-703</t>
  </si>
  <si>
    <t>21#住宅楼-2-704</t>
  </si>
  <si>
    <t>21#住宅楼-2-801</t>
  </si>
  <si>
    <t>21#住宅楼-2-802</t>
  </si>
  <si>
    <t>21#住宅楼-2-803</t>
  </si>
  <si>
    <t>21#住宅楼-2-804</t>
  </si>
  <si>
    <t>21#住宅楼-2-901</t>
  </si>
  <si>
    <t>21#住宅楼-2-902</t>
  </si>
  <si>
    <t>21#住宅楼-2-903</t>
  </si>
  <si>
    <t>21#住宅楼-2-904</t>
  </si>
  <si>
    <t>21#住宅楼-2-1001</t>
  </si>
  <si>
    <t>21#住宅楼-2-1002</t>
  </si>
  <si>
    <t>21#住宅楼-2-1003</t>
  </si>
  <si>
    <t>21#住宅楼-2-1004</t>
  </si>
  <si>
    <t>21#住宅楼-2-1101</t>
  </si>
  <si>
    <t>21#住宅楼-2-1102</t>
  </si>
  <si>
    <t>21#住宅楼-2-1103</t>
  </si>
  <si>
    <t>21#住宅楼-2-1104</t>
  </si>
  <si>
    <t>21#住宅楼-2-1201</t>
  </si>
  <si>
    <t>21#住宅楼-2-1202</t>
  </si>
  <si>
    <t>21#住宅楼-2-1203</t>
  </si>
  <si>
    <t>21#住宅楼-2-1204</t>
  </si>
  <si>
    <t>21#住宅楼-2-1301</t>
  </si>
  <si>
    <t>21#住宅楼-2-1302</t>
  </si>
  <si>
    <t>21#住宅楼-2-1303</t>
  </si>
  <si>
    <t>21#住宅楼-2-1304</t>
  </si>
  <si>
    <t>21#住宅楼-2-1401</t>
  </si>
  <si>
    <t>21#住宅楼-2-1402</t>
  </si>
  <si>
    <t>21#住宅楼-2-1403</t>
  </si>
  <si>
    <t>21#住宅楼-2-1404</t>
  </si>
  <si>
    <t>21#住宅楼-3-101</t>
  </si>
  <si>
    <t>21#住宅楼-3-102</t>
  </si>
  <si>
    <t>21#住宅楼-3-103</t>
  </si>
  <si>
    <t>21#住宅楼-3-104</t>
  </si>
  <si>
    <t>21#住宅楼-3-201</t>
  </si>
  <si>
    <t>21#住宅楼-3-202</t>
  </si>
  <si>
    <t>21#住宅楼-3-203</t>
  </si>
  <si>
    <t>21#住宅楼-3-204</t>
  </si>
  <si>
    <t>21#住宅楼-3-301</t>
  </si>
  <si>
    <t>21#住宅楼-3-302</t>
  </si>
  <si>
    <t>21#住宅楼-3-303</t>
  </si>
  <si>
    <t>21#住宅楼-3-304</t>
  </si>
  <si>
    <t>21#住宅楼-3-401</t>
  </si>
  <si>
    <t>21#住宅楼-3-402</t>
  </si>
  <si>
    <t>21#住宅楼-3-403</t>
  </si>
  <si>
    <t>21#住宅楼-3-404</t>
  </si>
  <si>
    <t>21#住宅楼-3-501</t>
  </si>
  <si>
    <t>21#住宅楼-3-502</t>
  </si>
  <si>
    <t>21#住宅楼-3-503</t>
  </si>
  <si>
    <t>21#住宅楼-3-504</t>
  </si>
  <si>
    <t>21#住宅楼-3-601</t>
  </si>
  <si>
    <t>21#住宅楼-3-602</t>
  </si>
  <si>
    <t>21#住宅楼-3-603</t>
  </si>
  <si>
    <t>21#住宅楼-3-604</t>
  </si>
  <si>
    <t>21#住宅楼-3-701</t>
  </si>
  <si>
    <t>21#住宅楼-3-702</t>
  </si>
  <si>
    <t>21#住宅楼-3-703</t>
  </si>
  <si>
    <t>21#住宅楼-3-704</t>
  </si>
  <si>
    <t>21#住宅楼-3-801</t>
  </si>
  <si>
    <t>21#住宅楼-3-802</t>
  </si>
  <si>
    <t>21#住宅楼-3-803</t>
  </si>
  <si>
    <t>21#住宅楼-3-804</t>
  </si>
  <si>
    <t>21#住宅楼-3-901</t>
  </si>
  <si>
    <t>21#住宅楼-3-902</t>
  </si>
  <si>
    <t>21#住宅楼-3-903</t>
  </si>
  <si>
    <t>21#住宅楼-3-904</t>
  </si>
  <si>
    <t>21#住宅楼-3-1001</t>
  </si>
  <si>
    <t>21#住宅楼-3-1002</t>
  </si>
  <si>
    <t>21#住宅楼-3-1003</t>
  </si>
  <si>
    <t>21#住宅楼-3-1004</t>
  </si>
  <si>
    <t>21#住宅楼-3-1101</t>
  </si>
  <si>
    <t>21#住宅楼-3-1102</t>
  </si>
  <si>
    <t>21#住宅楼-3-1103</t>
  </si>
  <si>
    <t>21#住宅楼-3-1104</t>
  </si>
  <si>
    <t>21#住宅楼-3-1201</t>
  </si>
  <si>
    <t>21#住宅楼-3-1202</t>
  </si>
  <si>
    <t>21#住宅楼-3-1203</t>
  </si>
  <si>
    <t>21#住宅楼-3-1204</t>
  </si>
  <si>
    <t>21#住宅楼-3-1301</t>
  </si>
  <si>
    <t>21#住宅楼-3-1302</t>
  </si>
  <si>
    <t>21#住宅楼-3-1303</t>
  </si>
  <si>
    <t>21#住宅楼-3-1304</t>
  </si>
  <si>
    <t>21#住宅楼-3-1401</t>
  </si>
  <si>
    <t>21#住宅楼-3-1402</t>
  </si>
  <si>
    <t>21#住宅楼-3-1403</t>
  </si>
  <si>
    <t>21#住宅楼-3-1404</t>
  </si>
  <si>
    <t>22#住宅楼-101</t>
  </si>
  <si>
    <t>22#住宅楼-102</t>
  </si>
  <si>
    <t>22#住宅楼-103</t>
  </si>
  <si>
    <t>22#住宅楼-104</t>
  </si>
  <si>
    <t>22#住宅楼-201</t>
  </si>
  <si>
    <t>22#住宅楼-202</t>
  </si>
  <si>
    <t>22#住宅楼-203</t>
  </si>
  <si>
    <t>22#住宅楼-204</t>
  </si>
  <si>
    <t>22#住宅楼-301</t>
  </si>
  <si>
    <t>22#住宅楼-302</t>
  </si>
  <si>
    <t>22#住宅楼-303</t>
  </si>
  <si>
    <t>22#住宅楼-304</t>
  </si>
  <si>
    <t>22#住宅楼-401</t>
  </si>
  <si>
    <t>22#住宅楼-402</t>
  </si>
  <si>
    <t>22#住宅楼-403</t>
  </si>
  <si>
    <t>22#住宅楼-404</t>
  </si>
  <si>
    <t>22#住宅楼-501</t>
  </si>
  <si>
    <t>22#住宅楼-502</t>
  </si>
  <si>
    <t>22#住宅楼-503</t>
  </si>
  <si>
    <t>22#住宅楼-504</t>
  </si>
  <si>
    <t>22#住宅楼-601</t>
  </si>
  <si>
    <t>22#住宅楼-602</t>
  </si>
  <si>
    <t>22#住宅楼-603</t>
  </si>
  <si>
    <t>22#住宅楼-604</t>
  </si>
  <si>
    <t>22#住宅楼-701</t>
  </si>
  <si>
    <t>22#住宅楼-702</t>
  </si>
  <si>
    <t>22#住宅楼-703</t>
  </si>
  <si>
    <t>22#住宅楼-704</t>
  </si>
  <si>
    <t>22#住宅楼-801</t>
  </si>
  <si>
    <t>22#住宅楼-802</t>
  </si>
  <si>
    <t>22#住宅楼-803</t>
  </si>
  <si>
    <t>22#住宅楼-804</t>
  </si>
  <si>
    <t>22#住宅楼-901</t>
  </si>
  <si>
    <t>22#住宅楼-902</t>
  </si>
  <si>
    <t>22#住宅楼-903</t>
  </si>
  <si>
    <t>22#住宅楼-904</t>
  </si>
  <si>
    <t>22#住宅楼-1001</t>
  </si>
  <si>
    <t>22#住宅楼-1002</t>
  </si>
  <si>
    <t>22#住宅楼-1003</t>
  </si>
  <si>
    <t>22#住宅楼-1004</t>
  </si>
  <si>
    <t>22#住宅楼-1101</t>
  </si>
  <si>
    <t>22#住宅楼-1102</t>
  </si>
  <si>
    <t>22#住宅楼-1103</t>
  </si>
  <si>
    <t>22#住宅楼-1104</t>
  </si>
  <si>
    <t>22#住宅楼-1201</t>
  </si>
  <si>
    <t>22#住宅楼-1202</t>
  </si>
  <si>
    <t>22#住宅楼-1203</t>
  </si>
  <si>
    <t>22#住宅楼-1204</t>
  </si>
  <si>
    <t>22#住宅楼-1301</t>
  </si>
  <si>
    <t>22#住宅楼-1302</t>
  </si>
  <si>
    <t>22#住宅楼-1303</t>
  </si>
  <si>
    <t>22#住宅楼-1304</t>
  </si>
  <si>
    <t>22#住宅楼-1401</t>
  </si>
  <si>
    <t>22#住宅楼-1402</t>
  </si>
  <si>
    <t>22#住宅楼-1403</t>
  </si>
  <si>
    <t>22#住宅楼-1404</t>
  </si>
  <si>
    <t>22#住宅楼-1501</t>
  </si>
  <si>
    <t>22#住宅楼-1502</t>
  </si>
  <si>
    <t>22#住宅楼-1503</t>
  </si>
  <si>
    <t>22#住宅楼-1504</t>
  </si>
  <si>
    <t>合计</t>
  </si>
  <si>
    <t>22#住宅楼</t>
  </si>
  <si>
    <t>住宅、仓储、车库抵押面积共计</t>
  </si>
  <si>
    <t>抵押建筑面积合计：195,888.83平方米</t>
  </si>
  <si>
    <t>土地分摊面积合计：61,673.46平方米</t>
  </si>
  <si>
    <t>住宅</t>
    <phoneticPr fontId="3" type="noConversion"/>
  </si>
  <si>
    <t>地下仓储</t>
    <phoneticPr fontId="3" type="noConversion"/>
  </si>
  <si>
    <t>地下车库</t>
    <phoneticPr fontId="3" type="noConversion"/>
  </si>
  <si>
    <t>是</t>
  </si>
  <si>
    <t>地上</t>
  </si>
  <si>
    <t>地下</t>
  </si>
  <si>
    <t>地下仓储</t>
    <phoneticPr fontId="134" type="noConversion"/>
  </si>
  <si>
    <t>地下车库</t>
    <phoneticPr fontId="134" type="noConversion"/>
  </si>
  <si>
    <t>分摊土地面积</t>
    <phoneticPr fontId="134" type="noConversion"/>
  </si>
  <si>
    <t>建筑面积</t>
    <phoneticPr fontId="134" type="noConversion"/>
  </si>
  <si>
    <t>总计</t>
    <phoneticPr fontId="134" type="noConversion"/>
  </si>
  <si>
    <t>工程进度</t>
  </si>
  <si>
    <t>工程进度</t>
    <phoneticPr fontId="134" type="noConversion"/>
  </si>
  <si>
    <t>北区住宅</t>
    <phoneticPr fontId="134" type="noConversion"/>
  </si>
  <si>
    <t>南区住宅</t>
    <phoneticPr fontId="134" type="noConversion"/>
  </si>
  <si>
    <t>一次结构封顶</t>
    <phoneticPr fontId="134" type="noConversion"/>
  </si>
  <si>
    <t>二次结构封顶</t>
    <phoneticPr fontId="134" type="noConversion"/>
  </si>
  <si>
    <t>结构完工</t>
  </si>
  <si>
    <t>结构完工</t>
    <phoneticPr fontId="134" type="noConversion"/>
  </si>
  <si>
    <t>收益法</t>
  </si>
  <si>
    <t>建设内容</t>
  </si>
  <si>
    <t>限价</t>
  </si>
  <si>
    <t>份额</t>
  </si>
  <si>
    <t>成本法</t>
  </si>
  <si>
    <t>假设开发法</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</si>
  <si>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</si>
  <si>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</si>
  <si>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</si>
  <si>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</si>
  <si>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</si>
  <si>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</si>
  <si>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</si>
  <si>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</si>
  <si>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</si>
  <si>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</si>
  <si>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</si>
  <si>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</si>
  <si>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</si>
  <si>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</si>
  <si>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成交楼面价(元/㎡)</t>
  </si>
  <si>
    <t>溢价率(%)</t>
  </si>
  <si>
    <t>限售价(元/㎡)</t>
  </si>
  <si>
    <t>大兴区瀛海镇区级统筹集建地YZ00-0803-2025等地块</t>
  </si>
  <si>
    <t>京规自集使挂(兴)[2023]007号</t>
  </si>
  <si>
    <t>住宅用地</t>
  </si>
  <si>
    <t>F81 集体产业用地(建设共有产权住房)</t>
  </si>
  <si>
    <t>2.20</t>
  </si>
  <si>
    <t>挂牌</t>
  </si>
  <si>
    <t/>
  </si>
  <si>
    <t>已成交</t>
  </si>
  <si>
    <t>北京大兴发展集地开发有限公司</t>
  </si>
  <si>
    <t>大兴区旧宫镇YZ00-0902-0340、6002、6003(原DX05-0102-0340、6002、6003)F81 集体产业用地</t>
  </si>
  <si>
    <t>京规自集使挂(兴)[2023]008号</t>
  </si>
  <si>
    <t>2.50</t>
  </si>
  <si>
    <t>大兴区瀛海镇区级统筹集建地YZ00-0803-2019、2057地块F81集体产业用地</t>
  </si>
  <si>
    <t>京规自集使挂(兴)[2023]005号</t>
  </si>
  <si>
    <t>F81集体产业用地(建设共有产权住房)</t>
  </si>
  <si>
    <t>湖北文旅园区建设发展集团有限公司 、中建壹品投资发展有限公司</t>
  </si>
  <si>
    <t>大兴区瀛海镇区级统筹集建地YZ00-0803-2006、2029、2031地块F81集体产业用地</t>
  </si>
  <si>
    <t>京规自集使挂(兴)[2023]004号</t>
  </si>
  <si>
    <t>正常</t>
  </si>
  <si>
    <t>共有产权房</t>
  </si>
  <si>
    <t>较好</t>
  </si>
  <si>
    <t>一般</t>
  </si>
  <si>
    <t>七通</t>
  </si>
  <si>
    <t>较规则</t>
  </si>
  <si>
    <t>五通</t>
  </si>
  <si>
    <t>未包含在土地购买价格中</t>
  </si>
  <si>
    <t>全部缴纳</t>
  </si>
  <si>
    <t>已包含在土地取得成本中</t>
  </si>
  <si>
    <t>在建（套用方法）</t>
  </si>
  <si>
    <t>钢混</t>
  </si>
  <si>
    <t>非生产用房</t>
  </si>
  <si>
    <t>项目模式</t>
  </si>
  <si>
    <t>售价</t>
  </si>
  <si>
    <t>地下车库</t>
    <phoneticPr fontId="31" type="noConversion"/>
  </si>
  <si>
    <t>专业物业管理</t>
    <phoneticPr fontId="31" type="noConversion"/>
  </si>
  <si>
    <t>普通装修</t>
    <phoneticPr fontId="31" type="noConversion"/>
  </si>
  <si>
    <t>和悦璞云</t>
    <phoneticPr fontId="3" type="noConversion"/>
  </si>
  <si>
    <t>中海云筑</t>
    <phoneticPr fontId="3" type="noConversion"/>
  </si>
  <si>
    <t>40-50</t>
  </si>
  <si>
    <t>40-50</t>
    <phoneticPr fontId="31" type="noConversion"/>
  </si>
  <si>
    <t>项目品质</t>
    <phoneticPr fontId="31" type="noConversion"/>
  </si>
  <si>
    <t>中档</t>
    <phoneticPr fontId="31" type="noConversion"/>
  </si>
  <si>
    <t>中高档</t>
    <phoneticPr fontId="31" type="noConversion"/>
  </si>
  <si>
    <t>高档</t>
    <phoneticPr fontId="31" type="noConversion"/>
  </si>
  <si>
    <t>30-40</t>
    <phoneticPr fontId="31" type="noConversion"/>
  </si>
  <si>
    <t>元/车位</t>
  </si>
  <si>
    <t>总价</t>
  </si>
  <si>
    <t>成本比率</t>
  </si>
  <si>
    <t>住总万科橙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</si>
</sst>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000000"/>
      <name val="宋体"/>
      <family val="3"/>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rgb="FF000000"/>
      </left>
      <right style="medium">
        <color indexed="64"/>
      </right>
      <top/>
      <bottom style="medium">
        <color indexed="64"/>
      </bottom>
      <diagonal/>
    </border>
    <border>
      <left/>
      <right style="medium">
        <color rgb="FF000000"/>
      </right>
      <top/>
      <bottom style="medium">
        <color indexed="64"/>
      </bottom>
      <diagonal/>
    </border>
    <border>
      <left style="medium">
        <color indexed="64"/>
      </left>
      <right style="medium">
        <color rgb="FF000000"/>
      </right>
      <top/>
      <bottom style="medium">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0" fontId="201" fillId="0" borderId="177" xfId="10" applyFont="1" applyBorder="1" applyAlignment="1">
      <alignment horizontal="center" vertical="center" wrapText="1"/>
    </xf>
    <xf numFmtId="0" fontId="201" fillId="0" borderId="43" xfId="10" applyFont="1" applyBorder="1" applyAlignment="1">
      <alignment horizontal="center" vertical="center" wrapText="1"/>
    </xf>
    <xf numFmtId="0" fontId="201" fillId="0" borderId="178" xfId="10" applyFont="1" applyBorder="1" applyAlignment="1">
      <alignment horizontal="center" vertical="center" wrapText="1"/>
    </xf>
    <xf numFmtId="0" fontId="122" fillId="0" borderId="179" xfId="10" applyFont="1" applyBorder="1" applyAlignment="1">
      <alignment horizontal="center" vertical="center"/>
    </xf>
    <xf numFmtId="0" fontId="122" fillId="0" borderId="43" xfId="10" applyFont="1" applyBorder="1" applyAlignment="1">
      <alignment horizontal="center" vertical="center"/>
    </xf>
    <xf numFmtId="0" fontId="122" fillId="0" borderId="178" xfId="10" applyFont="1" applyBorder="1" applyAlignment="1">
      <alignment horizontal="center" vertical="center"/>
    </xf>
    <xf numFmtId="0" fontId="122" fillId="0" borderId="177" xfId="10" applyFont="1" applyBorder="1" applyAlignment="1">
      <alignment horizontal="center" vertical="center"/>
    </xf>
    <xf numFmtId="0" fontId="178" fillId="0" borderId="43" xfId="10" applyFont="1" applyBorder="1" applyAlignment="1">
      <alignment horizontal="center" vertical="center"/>
    </xf>
    <xf numFmtId="0" fontId="178" fillId="0" borderId="178" xfId="10" applyFont="1" applyBorder="1" applyAlignment="1">
      <alignment horizontal="center" vertical="center"/>
    </xf>
    <xf numFmtId="4" fontId="136" fillId="0" borderId="178" xfId="10" applyNumberFormat="1" applyFont="1" applyBorder="1" applyAlignment="1">
      <alignment horizontal="center" vertical="center"/>
    </xf>
    <xf numFmtId="4" fontId="133" fillId="0" borderId="184" xfId="10" applyNumberFormat="1" applyFont="1" applyBorder="1" applyAlignment="1">
      <alignment horizontal="center" vertical="center"/>
    </xf>
    <xf numFmtId="4" fontId="136" fillId="0" borderId="43" xfId="10" applyNumberFormat="1" applyFont="1" applyBorder="1" applyAlignment="1">
      <alignment horizontal="center" vertical="center"/>
    </xf>
    <xf numFmtId="0" fontId="77" fillId="0" borderId="1" xfId="0" applyFont="1" applyBorder="1" applyAlignment="1" applyProtection="1">
      <alignment horizontal="center" vertical="center" wrapText="1"/>
      <protection locked="0"/>
    </xf>
    <xf numFmtId="0" fontId="122" fillId="0" borderId="1" xfId="10" applyFont="1" applyBorder="1" applyAlignment="1">
      <alignment horizontal="center" vertical="center"/>
    </xf>
    <xf numFmtId="9" fontId="95" fillId="0" borderId="0" xfId="10" applyNumberFormat="1">
      <alignment vertical="center"/>
    </xf>
    <xf numFmtId="10" fontId="95" fillId="0" borderId="0" xfId="17" applyNumberFormat="1" applyFont="1">
      <alignment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0" fontId="273" fillId="0" borderId="0" xfId="19" applyFont="1"/>
    <xf numFmtId="14" fontId="273" fillId="0" borderId="0" xfId="19" applyNumberFormat="1" applyFont="1"/>
    <xf numFmtId="0" fontId="273" fillId="5" borderId="0" xfId="19" applyFont="1" applyFill="1"/>
    <xf numFmtId="14" fontId="273" fillId="5" borderId="0" xfId="19" applyNumberFormat="1" applyFont="1" applyFill="1"/>
    <xf numFmtId="0" fontId="95" fillId="5" borderId="0" xfId="10" applyFill="1">
      <alignment vertical="center"/>
    </xf>
    <xf numFmtId="9" fontId="44" fillId="0" borderId="2" xfId="17" applyFont="1" applyBorder="1" applyAlignment="1" applyProtection="1">
      <alignment horizontal="center" vertical="center" wrapText="1"/>
      <protection locked="0"/>
    </xf>
    <xf numFmtId="9" fontId="51" fillId="0" borderId="38" xfId="17" applyFont="1" applyBorder="1" applyAlignment="1" applyProtection="1">
      <alignment horizontal="center" vertical="center" wrapText="1"/>
      <protection locked="0"/>
    </xf>
    <xf numFmtId="9" fontId="51" fillId="0" borderId="1" xfId="17" applyFont="1" applyBorder="1" applyAlignment="1" applyProtection="1">
      <alignment horizontal="center" vertical="center" wrapText="1"/>
      <protection locked="0"/>
    </xf>
    <xf numFmtId="9" fontId="51" fillId="0" borderId="23" xfId="17"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01" fillId="0" borderId="63" xfId="10" applyFont="1" applyBorder="1" applyAlignment="1">
      <alignment horizontal="center" vertical="center" wrapText="1"/>
    </xf>
    <xf numFmtId="0" fontId="201" fillId="0" borderId="64" xfId="10" applyFont="1" applyBorder="1" applyAlignment="1">
      <alignment horizontal="center" vertical="center" wrapText="1"/>
    </xf>
    <xf numFmtId="0" fontId="201" fillId="0" borderId="65" xfId="10" applyFont="1" applyBorder="1" applyAlignment="1">
      <alignment horizontal="center" vertical="center" wrapText="1"/>
    </xf>
    <xf numFmtId="0" fontId="271" fillId="0" borderId="63" xfId="10" applyFont="1" applyBorder="1" applyAlignment="1">
      <alignment horizontal="center" vertical="center"/>
    </xf>
    <xf numFmtId="0" fontId="271" fillId="0" borderId="64" xfId="10" applyFont="1" applyBorder="1" applyAlignment="1">
      <alignment horizontal="center" vertical="center"/>
    </xf>
    <xf numFmtId="0" fontId="271" fillId="0" borderId="176" xfId="10" applyFont="1" applyBorder="1" applyAlignment="1">
      <alignment horizontal="center" vertical="center"/>
    </xf>
    <xf numFmtId="0" fontId="136" fillId="0" borderId="180" xfId="10" applyFont="1" applyBorder="1" applyAlignment="1">
      <alignment horizontal="center" vertical="center"/>
    </xf>
    <xf numFmtId="0" fontId="136" fillId="0" borderId="65" xfId="10" applyFont="1" applyBorder="1" applyAlignment="1">
      <alignment horizontal="center" vertical="center"/>
    </xf>
    <xf numFmtId="0" fontId="136" fillId="0" borderId="181" xfId="10" applyFont="1" applyBorder="1" applyAlignment="1">
      <alignment horizontal="center" vertical="center"/>
    </xf>
    <xf numFmtId="0" fontId="136" fillId="0" borderId="182" xfId="10" applyFont="1" applyBorder="1" applyAlignment="1">
      <alignment horizontal="center" vertical="center"/>
    </xf>
    <xf numFmtId="0" fontId="136" fillId="0" borderId="183" xfId="10" applyFont="1" applyBorder="1" applyAlignment="1">
      <alignment horizontal="center" vertical="center"/>
    </xf>
    <xf numFmtId="0" fontId="136" fillId="0" borderId="63" xfId="10" applyFont="1" applyBorder="1" applyAlignment="1">
      <alignment horizontal="center" vertical="center"/>
    </xf>
    <xf numFmtId="0" fontId="136" fillId="0" borderId="64" xfId="10" applyFont="1" applyBorder="1" applyAlignment="1">
      <alignment horizontal="center" vertical="center"/>
    </xf>
    <xf numFmtId="0" fontId="180" fillId="0" borderId="16" xfId="10" applyFont="1" applyBorder="1" applyAlignment="1">
      <alignment horizontal="center" vertical="center"/>
    </xf>
    <xf numFmtId="0" fontId="180" fillId="0" borderId="19" xfId="10" applyFont="1" applyBorder="1" applyAlignment="1">
      <alignment horizontal="center" vertical="center"/>
    </xf>
    <xf numFmtId="0" fontId="180" fillId="0" borderId="31" xfId="10" applyFont="1" applyBorder="1" applyAlignment="1">
      <alignment horizontal="center" vertical="center"/>
    </xf>
    <xf numFmtId="0" fontId="180" fillId="0" borderId="42" xfId="10" applyFont="1" applyBorder="1" applyAlignment="1">
      <alignment horizontal="center" vertical="center"/>
    </xf>
    <xf numFmtId="0" fontId="180" fillId="0" borderId="47" xfId="10" applyFont="1" applyBorder="1" applyAlignment="1">
      <alignment horizontal="center" vertical="center"/>
    </xf>
    <xf numFmtId="0" fontId="180" fillId="0" borderId="43" xfId="1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9" borderId="1" xfId="0" applyFont="1" applyFill="1" applyBorder="1">
      <alignment vertical="center"/>
    </xf>
  </cellXfs>
  <cellStyles count="20">
    <cellStyle name="百分比" xfId="17" builtinId="5"/>
    <cellStyle name="百分比 2" xfId="14" xr:uid="{00000000-0005-0000-0000-000001000000}"/>
    <cellStyle name="常规" xfId="0" builtinId="0"/>
    <cellStyle name="常规 10" xfId="19" xr:uid="{48882CA3-7EB4-4BD4-8B7A-77188D2DEC4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922357</xdr:colOff>
      <xdr:row>23</xdr:row>
      <xdr:rowOff>104376</xdr:rowOff>
    </xdr:to>
    <xdr:pic>
      <xdr:nvPicPr>
        <xdr:cNvPr id="2" name="图片 1">
          <a:extLst>
            <a:ext uri="{FF2B5EF4-FFF2-40B4-BE49-F238E27FC236}">
              <a16:creationId xmlns:a16="http://schemas.microsoft.com/office/drawing/2014/main" id="{9D66BD0D-8E70-45BD-B269-92E027ED6D82}"/>
            </a:ext>
          </a:extLst>
        </xdr:cNvPr>
        <xdr:cNvPicPr>
          <a:picLocks noChangeAspect="1"/>
        </xdr:cNvPicPr>
      </xdr:nvPicPr>
      <xdr:blipFill>
        <a:blip xmlns:r="http://schemas.openxmlformats.org/officeDocument/2006/relationships" r:embed="rId1"/>
        <a:stretch>
          <a:fillRect/>
        </a:stretch>
      </xdr:blipFill>
      <xdr:spPr>
        <a:xfrm>
          <a:off x="0" y="857250"/>
          <a:ext cx="12542857" cy="3190476"/>
        </a:xfrm>
        <a:prstGeom prst="rect">
          <a:avLst/>
        </a:prstGeom>
      </xdr:spPr>
    </xdr:pic>
    <xdr:clientData/>
  </xdr:twoCellAnchor>
  <xdr:twoCellAnchor editAs="oneCell">
    <xdr:from>
      <xdr:col>0</xdr:col>
      <xdr:colOff>0</xdr:colOff>
      <xdr:row>24</xdr:row>
      <xdr:rowOff>0</xdr:rowOff>
    </xdr:from>
    <xdr:to>
      <xdr:col>12</xdr:col>
      <xdr:colOff>731881</xdr:colOff>
      <xdr:row>53</xdr:row>
      <xdr:rowOff>6299</xdr:rowOff>
    </xdr:to>
    <xdr:pic>
      <xdr:nvPicPr>
        <xdr:cNvPr id="3" name="图片 2">
          <a:extLst>
            <a:ext uri="{FF2B5EF4-FFF2-40B4-BE49-F238E27FC236}">
              <a16:creationId xmlns:a16="http://schemas.microsoft.com/office/drawing/2014/main" id="{FECEA92B-15AD-4E51-98B1-835F02AA1759}"/>
            </a:ext>
          </a:extLst>
        </xdr:cNvPr>
        <xdr:cNvPicPr>
          <a:picLocks noChangeAspect="1"/>
        </xdr:cNvPicPr>
      </xdr:nvPicPr>
      <xdr:blipFill>
        <a:blip xmlns:r="http://schemas.openxmlformats.org/officeDocument/2006/relationships" r:embed="rId2"/>
        <a:stretch>
          <a:fillRect/>
        </a:stretch>
      </xdr:blipFill>
      <xdr:spPr>
        <a:xfrm>
          <a:off x="0" y="4114800"/>
          <a:ext cx="12352381" cy="4978349"/>
        </a:xfrm>
        <a:prstGeom prst="rect">
          <a:avLst/>
        </a:prstGeom>
      </xdr:spPr>
    </xdr:pic>
    <xdr:clientData/>
  </xdr:twoCellAnchor>
  <xdr:twoCellAnchor editAs="oneCell">
    <xdr:from>
      <xdr:col>0</xdr:col>
      <xdr:colOff>0</xdr:colOff>
      <xdr:row>52</xdr:row>
      <xdr:rowOff>138545</xdr:rowOff>
    </xdr:from>
    <xdr:to>
      <xdr:col>12</xdr:col>
      <xdr:colOff>750928</xdr:colOff>
      <xdr:row>71</xdr:row>
      <xdr:rowOff>29043</xdr:rowOff>
    </xdr:to>
    <xdr:pic>
      <xdr:nvPicPr>
        <xdr:cNvPr id="4" name="图片 3">
          <a:extLst>
            <a:ext uri="{FF2B5EF4-FFF2-40B4-BE49-F238E27FC236}">
              <a16:creationId xmlns:a16="http://schemas.microsoft.com/office/drawing/2014/main" id="{B2E335C2-E101-42BE-9E15-76BB5E5277FA}"/>
            </a:ext>
          </a:extLst>
        </xdr:cNvPr>
        <xdr:cNvPicPr>
          <a:picLocks noChangeAspect="1"/>
        </xdr:cNvPicPr>
      </xdr:nvPicPr>
      <xdr:blipFill>
        <a:blip xmlns:r="http://schemas.openxmlformats.org/officeDocument/2006/relationships" r:embed="rId3"/>
        <a:stretch>
          <a:fillRect/>
        </a:stretch>
      </xdr:blipFill>
      <xdr:spPr>
        <a:xfrm>
          <a:off x="0" y="9053945"/>
          <a:ext cx="12371428" cy="3148048"/>
        </a:xfrm>
        <a:prstGeom prst="rect">
          <a:avLst/>
        </a:prstGeom>
      </xdr:spPr>
    </xdr:pic>
    <xdr:clientData/>
  </xdr:twoCellAnchor>
  <xdr:twoCellAnchor editAs="oneCell">
    <xdr:from>
      <xdr:col>12</xdr:col>
      <xdr:colOff>900546</xdr:colOff>
      <xdr:row>5</xdr:row>
      <xdr:rowOff>0</xdr:rowOff>
    </xdr:from>
    <xdr:to>
      <xdr:col>31</xdr:col>
      <xdr:colOff>530105</xdr:colOff>
      <xdr:row>23</xdr:row>
      <xdr:rowOff>101775</xdr:rowOff>
    </xdr:to>
    <xdr:pic>
      <xdr:nvPicPr>
        <xdr:cNvPr id="5" name="图片 4">
          <a:extLst>
            <a:ext uri="{FF2B5EF4-FFF2-40B4-BE49-F238E27FC236}">
              <a16:creationId xmlns:a16="http://schemas.microsoft.com/office/drawing/2014/main" id="{A2746620-9F04-4581-83EF-97D24E48D344}"/>
            </a:ext>
          </a:extLst>
        </xdr:cNvPr>
        <xdr:cNvPicPr>
          <a:picLocks noChangeAspect="1"/>
        </xdr:cNvPicPr>
      </xdr:nvPicPr>
      <xdr:blipFill>
        <a:blip xmlns:r="http://schemas.openxmlformats.org/officeDocument/2006/relationships" r:embed="rId4"/>
        <a:stretch>
          <a:fillRect/>
        </a:stretch>
      </xdr:blipFill>
      <xdr:spPr>
        <a:xfrm>
          <a:off x="12521046" y="857250"/>
          <a:ext cx="12412109" cy="3187875"/>
        </a:xfrm>
        <a:prstGeom prst="rect">
          <a:avLst/>
        </a:prstGeom>
      </xdr:spPr>
    </xdr:pic>
    <xdr:clientData/>
  </xdr:twoCellAnchor>
  <xdr:twoCellAnchor editAs="oneCell">
    <xdr:from>
      <xdr:col>12</xdr:col>
      <xdr:colOff>900545</xdr:colOff>
      <xdr:row>23</xdr:row>
      <xdr:rowOff>138545</xdr:rowOff>
    </xdr:from>
    <xdr:to>
      <xdr:col>31</xdr:col>
      <xdr:colOff>415818</xdr:colOff>
      <xdr:row>51</xdr:row>
      <xdr:rowOff>98978</xdr:rowOff>
    </xdr:to>
    <xdr:pic>
      <xdr:nvPicPr>
        <xdr:cNvPr id="6" name="图片 5">
          <a:extLst>
            <a:ext uri="{FF2B5EF4-FFF2-40B4-BE49-F238E27FC236}">
              <a16:creationId xmlns:a16="http://schemas.microsoft.com/office/drawing/2014/main" id="{301EC854-034D-492B-8FF4-EC83045870FD}"/>
            </a:ext>
          </a:extLst>
        </xdr:cNvPr>
        <xdr:cNvPicPr>
          <a:picLocks noChangeAspect="1"/>
        </xdr:cNvPicPr>
      </xdr:nvPicPr>
      <xdr:blipFill>
        <a:blip xmlns:r="http://schemas.openxmlformats.org/officeDocument/2006/relationships" r:embed="rId5"/>
        <a:stretch>
          <a:fillRect/>
        </a:stretch>
      </xdr:blipFill>
      <xdr:spPr>
        <a:xfrm>
          <a:off x="12521045" y="4081895"/>
          <a:ext cx="12297823" cy="4761033"/>
        </a:xfrm>
        <a:prstGeom prst="rect">
          <a:avLst/>
        </a:prstGeom>
      </xdr:spPr>
    </xdr:pic>
    <xdr:clientData/>
  </xdr:twoCellAnchor>
  <xdr:twoCellAnchor editAs="oneCell">
    <xdr:from>
      <xdr:col>12</xdr:col>
      <xdr:colOff>1039091</xdr:colOff>
      <xdr:row>52</xdr:row>
      <xdr:rowOff>0</xdr:rowOff>
    </xdr:from>
    <xdr:to>
      <xdr:col>31</xdr:col>
      <xdr:colOff>544840</xdr:colOff>
      <xdr:row>69</xdr:row>
      <xdr:rowOff>103529</xdr:rowOff>
    </xdr:to>
    <xdr:pic>
      <xdr:nvPicPr>
        <xdr:cNvPr id="7" name="图片 6">
          <a:extLst>
            <a:ext uri="{FF2B5EF4-FFF2-40B4-BE49-F238E27FC236}">
              <a16:creationId xmlns:a16="http://schemas.microsoft.com/office/drawing/2014/main" id="{366D349F-E418-45E0-9884-972DDA296CC1}"/>
            </a:ext>
          </a:extLst>
        </xdr:cNvPr>
        <xdr:cNvPicPr>
          <a:picLocks noChangeAspect="1"/>
        </xdr:cNvPicPr>
      </xdr:nvPicPr>
      <xdr:blipFill>
        <a:blip xmlns:r="http://schemas.openxmlformats.org/officeDocument/2006/relationships" r:embed="rId6"/>
        <a:stretch>
          <a:fillRect/>
        </a:stretch>
      </xdr:blipFill>
      <xdr:spPr>
        <a:xfrm>
          <a:off x="12659591" y="8915400"/>
          <a:ext cx="12288299" cy="3018179"/>
        </a:xfrm>
        <a:prstGeom prst="rect">
          <a:avLst/>
        </a:prstGeom>
      </xdr:spPr>
    </xdr:pic>
    <xdr:clientData/>
  </xdr:twoCellAnchor>
  <xdr:twoCellAnchor editAs="oneCell">
    <xdr:from>
      <xdr:col>32</xdr:col>
      <xdr:colOff>0</xdr:colOff>
      <xdr:row>5</xdr:row>
      <xdr:rowOff>0</xdr:rowOff>
    </xdr:from>
    <xdr:to>
      <xdr:col>50</xdr:col>
      <xdr:colOff>26148</xdr:colOff>
      <xdr:row>19</xdr:row>
      <xdr:rowOff>51644</xdr:rowOff>
    </xdr:to>
    <xdr:pic>
      <xdr:nvPicPr>
        <xdr:cNvPr id="8" name="图片 7">
          <a:extLst>
            <a:ext uri="{FF2B5EF4-FFF2-40B4-BE49-F238E27FC236}">
              <a16:creationId xmlns:a16="http://schemas.microsoft.com/office/drawing/2014/main" id="{D0851CBB-428D-4956-8B6A-01B4785854EA}"/>
            </a:ext>
          </a:extLst>
        </xdr:cNvPr>
        <xdr:cNvPicPr>
          <a:picLocks noChangeAspect="1"/>
        </xdr:cNvPicPr>
      </xdr:nvPicPr>
      <xdr:blipFill>
        <a:blip xmlns:r="http://schemas.openxmlformats.org/officeDocument/2006/relationships" r:embed="rId7"/>
        <a:stretch>
          <a:fillRect/>
        </a:stretch>
      </xdr:blipFill>
      <xdr:spPr>
        <a:xfrm>
          <a:off x="25088850" y="857250"/>
          <a:ext cx="12370548" cy="2451944"/>
        </a:xfrm>
        <a:prstGeom prst="rect">
          <a:avLst/>
        </a:prstGeom>
      </xdr:spPr>
    </xdr:pic>
    <xdr:clientData/>
  </xdr:twoCellAnchor>
  <xdr:twoCellAnchor editAs="oneCell">
    <xdr:from>
      <xdr:col>31</xdr:col>
      <xdr:colOff>554183</xdr:colOff>
      <xdr:row>25</xdr:row>
      <xdr:rowOff>1</xdr:rowOff>
    </xdr:from>
    <xdr:to>
      <xdr:col>49</xdr:col>
      <xdr:colOff>532711</xdr:colOff>
      <xdr:row>50</xdr:row>
      <xdr:rowOff>156169</xdr:rowOff>
    </xdr:to>
    <xdr:pic>
      <xdr:nvPicPr>
        <xdr:cNvPr id="9" name="图片 8">
          <a:extLst>
            <a:ext uri="{FF2B5EF4-FFF2-40B4-BE49-F238E27FC236}">
              <a16:creationId xmlns:a16="http://schemas.microsoft.com/office/drawing/2014/main" id="{B32EED54-2156-41DB-A733-0521F28F190B}"/>
            </a:ext>
          </a:extLst>
        </xdr:cNvPr>
        <xdr:cNvPicPr>
          <a:picLocks noChangeAspect="1"/>
        </xdr:cNvPicPr>
      </xdr:nvPicPr>
      <xdr:blipFill>
        <a:blip xmlns:r="http://schemas.openxmlformats.org/officeDocument/2006/relationships" r:embed="rId8"/>
        <a:stretch>
          <a:fillRect/>
        </a:stretch>
      </xdr:blipFill>
      <xdr:spPr>
        <a:xfrm>
          <a:off x="24957233" y="4286251"/>
          <a:ext cx="12322928" cy="4442418"/>
        </a:xfrm>
        <a:prstGeom prst="rect">
          <a:avLst/>
        </a:prstGeom>
      </xdr:spPr>
    </xdr:pic>
    <xdr:clientData/>
  </xdr:twoCellAnchor>
  <xdr:twoCellAnchor editAs="oneCell">
    <xdr:from>
      <xdr:col>50</xdr:col>
      <xdr:colOff>0</xdr:colOff>
      <xdr:row>5</xdr:row>
      <xdr:rowOff>34637</xdr:rowOff>
    </xdr:from>
    <xdr:to>
      <xdr:col>68</xdr:col>
      <xdr:colOff>26147</xdr:colOff>
      <xdr:row>22</xdr:row>
      <xdr:rowOff>100070</xdr:rowOff>
    </xdr:to>
    <xdr:pic>
      <xdr:nvPicPr>
        <xdr:cNvPr id="10" name="图片 9">
          <a:extLst>
            <a:ext uri="{FF2B5EF4-FFF2-40B4-BE49-F238E27FC236}">
              <a16:creationId xmlns:a16="http://schemas.microsoft.com/office/drawing/2014/main" id="{9AC6A949-AB89-4DED-B6BB-A7FAF79A5695}"/>
            </a:ext>
          </a:extLst>
        </xdr:cNvPr>
        <xdr:cNvPicPr>
          <a:picLocks noChangeAspect="1"/>
        </xdr:cNvPicPr>
      </xdr:nvPicPr>
      <xdr:blipFill>
        <a:blip xmlns:r="http://schemas.openxmlformats.org/officeDocument/2006/relationships" r:embed="rId9"/>
        <a:stretch>
          <a:fillRect/>
        </a:stretch>
      </xdr:blipFill>
      <xdr:spPr>
        <a:xfrm>
          <a:off x="37433250" y="891887"/>
          <a:ext cx="12370547" cy="2980083"/>
        </a:xfrm>
        <a:prstGeom prst="rect">
          <a:avLst/>
        </a:prstGeom>
      </xdr:spPr>
    </xdr:pic>
    <xdr:clientData/>
  </xdr:twoCellAnchor>
  <xdr:twoCellAnchor editAs="oneCell">
    <xdr:from>
      <xdr:col>50</xdr:col>
      <xdr:colOff>0</xdr:colOff>
      <xdr:row>25</xdr:row>
      <xdr:rowOff>0</xdr:rowOff>
    </xdr:from>
    <xdr:to>
      <xdr:col>67</xdr:col>
      <xdr:colOff>614112</xdr:colOff>
      <xdr:row>50</xdr:row>
      <xdr:rowOff>51406</xdr:rowOff>
    </xdr:to>
    <xdr:pic>
      <xdr:nvPicPr>
        <xdr:cNvPr id="11" name="图片 10">
          <a:extLst>
            <a:ext uri="{FF2B5EF4-FFF2-40B4-BE49-F238E27FC236}">
              <a16:creationId xmlns:a16="http://schemas.microsoft.com/office/drawing/2014/main" id="{6A68E184-18E2-4EC2-A63A-76A0758F4032}"/>
            </a:ext>
          </a:extLst>
        </xdr:cNvPr>
        <xdr:cNvPicPr>
          <a:picLocks noChangeAspect="1"/>
        </xdr:cNvPicPr>
      </xdr:nvPicPr>
      <xdr:blipFill>
        <a:blip xmlns:r="http://schemas.openxmlformats.org/officeDocument/2006/relationships" r:embed="rId10"/>
        <a:stretch>
          <a:fillRect/>
        </a:stretch>
      </xdr:blipFill>
      <xdr:spPr>
        <a:xfrm>
          <a:off x="37433250" y="4286250"/>
          <a:ext cx="12272712" cy="4337656"/>
        </a:xfrm>
        <a:prstGeom prst="rect">
          <a:avLst/>
        </a:prstGeom>
      </xdr:spPr>
    </xdr:pic>
    <xdr:clientData/>
  </xdr:twoCellAnchor>
  <xdr:twoCellAnchor editAs="oneCell">
    <xdr:from>
      <xdr:col>50</xdr:col>
      <xdr:colOff>103910</xdr:colOff>
      <xdr:row>52</xdr:row>
      <xdr:rowOff>138545</xdr:rowOff>
    </xdr:from>
    <xdr:to>
      <xdr:col>68</xdr:col>
      <xdr:colOff>25295</xdr:colOff>
      <xdr:row>70</xdr:row>
      <xdr:rowOff>97463</xdr:rowOff>
    </xdr:to>
    <xdr:pic>
      <xdr:nvPicPr>
        <xdr:cNvPr id="12" name="图片 11">
          <a:extLst>
            <a:ext uri="{FF2B5EF4-FFF2-40B4-BE49-F238E27FC236}">
              <a16:creationId xmlns:a16="http://schemas.microsoft.com/office/drawing/2014/main" id="{18DC7C60-552D-49C3-8933-DC4F39FFE851}"/>
            </a:ext>
          </a:extLst>
        </xdr:cNvPr>
        <xdr:cNvPicPr>
          <a:picLocks noChangeAspect="1"/>
        </xdr:cNvPicPr>
      </xdr:nvPicPr>
      <xdr:blipFill>
        <a:blip xmlns:r="http://schemas.openxmlformats.org/officeDocument/2006/relationships" r:embed="rId11"/>
        <a:stretch>
          <a:fillRect/>
        </a:stretch>
      </xdr:blipFill>
      <xdr:spPr>
        <a:xfrm>
          <a:off x="37537160" y="9053945"/>
          <a:ext cx="12265785" cy="3045018"/>
        </a:xfrm>
        <a:prstGeom prst="rect">
          <a:avLst/>
        </a:prstGeom>
      </xdr:spPr>
    </xdr:pic>
    <xdr:clientData/>
  </xdr:twoCellAnchor>
  <xdr:twoCellAnchor editAs="oneCell">
    <xdr:from>
      <xdr:col>32</xdr:col>
      <xdr:colOff>0</xdr:colOff>
      <xdr:row>53</xdr:row>
      <xdr:rowOff>0</xdr:rowOff>
    </xdr:from>
    <xdr:to>
      <xdr:col>49</xdr:col>
      <xdr:colOff>642684</xdr:colOff>
      <xdr:row>70</xdr:row>
      <xdr:rowOff>113052</xdr:rowOff>
    </xdr:to>
    <xdr:pic>
      <xdr:nvPicPr>
        <xdr:cNvPr id="13" name="图片 12">
          <a:extLst>
            <a:ext uri="{FF2B5EF4-FFF2-40B4-BE49-F238E27FC236}">
              <a16:creationId xmlns:a16="http://schemas.microsoft.com/office/drawing/2014/main" id="{B64AF4EF-F1AA-478D-9DD0-F2EB9E5C7158}"/>
            </a:ext>
          </a:extLst>
        </xdr:cNvPr>
        <xdr:cNvPicPr>
          <a:picLocks noChangeAspect="1"/>
        </xdr:cNvPicPr>
      </xdr:nvPicPr>
      <xdr:blipFill>
        <a:blip xmlns:r="http://schemas.openxmlformats.org/officeDocument/2006/relationships" r:embed="rId12"/>
        <a:stretch>
          <a:fillRect/>
        </a:stretch>
      </xdr:blipFill>
      <xdr:spPr>
        <a:xfrm>
          <a:off x="25088850" y="9086850"/>
          <a:ext cx="12301284" cy="3027702"/>
        </a:xfrm>
        <a:prstGeom prst="rect">
          <a:avLst/>
        </a:prstGeom>
      </xdr:spPr>
    </xdr:pic>
    <xdr:clientData/>
  </xdr:twoCellAnchor>
  <xdr:twoCellAnchor editAs="oneCell">
    <xdr:from>
      <xdr:col>0</xdr:col>
      <xdr:colOff>0</xdr:colOff>
      <xdr:row>74</xdr:row>
      <xdr:rowOff>0</xdr:rowOff>
    </xdr:from>
    <xdr:to>
      <xdr:col>6</xdr:col>
      <xdr:colOff>1095968</xdr:colOff>
      <xdr:row>104</xdr:row>
      <xdr:rowOff>81162</xdr:rowOff>
    </xdr:to>
    <xdr:pic>
      <xdr:nvPicPr>
        <xdr:cNvPr id="14" name="图片 13">
          <a:extLst>
            <a:ext uri="{FF2B5EF4-FFF2-40B4-BE49-F238E27FC236}">
              <a16:creationId xmlns:a16="http://schemas.microsoft.com/office/drawing/2014/main" id="{24EF91C9-C1D0-4287-8EE1-CFE62A01ED1C}"/>
            </a:ext>
          </a:extLst>
        </xdr:cNvPr>
        <xdr:cNvPicPr>
          <a:picLocks noChangeAspect="1"/>
        </xdr:cNvPicPr>
      </xdr:nvPicPr>
      <xdr:blipFill>
        <a:blip xmlns:r="http://schemas.openxmlformats.org/officeDocument/2006/relationships" r:embed="rId13"/>
        <a:stretch>
          <a:fillRect/>
        </a:stretch>
      </xdr:blipFill>
      <xdr:spPr>
        <a:xfrm>
          <a:off x="0" y="12687300"/>
          <a:ext cx="8715968" cy="5224662"/>
        </a:xfrm>
        <a:prstGeom prst="rect">
          <a:avLst/>
        </a:prstGeom>
      </xdr:spPr>
    </xdr:pic>
    <xdr:clientData/>
  </xdr:twoCellAnchor>
  <xdr:twoCellAnchor editAs="oneCell">
    <xdr:from>
      <xdr:col>6</xdr:col>
      <xdr:colOff>1557618</xdr:colOff>
      <xdr:row>73</xdr:row>
      <xdr:rowOff>67236</xdr:rowOff>
    </xdr:from>
    <xdr:to>
      <xdr:col>18</xdr:col>
      <xdr:colOff>35627</xdr:colOff>
      <xdr:row>88</xdr:row>
      <xdr:rowOff>60198</xdr:rowOff>
    </xdr:to>
    <xdr:pic>
      <xdr:nvPicPr>
        <xdr:cNvPr id="15" name="图片 14">
          <a:extLst>
            <a:ext uri="{FF2B5EF4-FFF2-40B4-BE49-F238E27FC236}">
              <a16:creationId xmlns:a16="http://schemas.microsoft.com/office/drawing/2014/main" id="{F3F19E6A-29EE-4DE6-B8F6-A3C562A4C3CC}"/>
            </a:ext>
          </a:extLst>
        </xdr:cNvPr>
        <xdr:cNvPicPr>
          <a:picLocks noChangeAspect="1"/>
        </xdr:cNvPicPr>
      </xdr:nvPicPr>
      <xdr:blipFill>
        <a:blip xmlns:r="http://schemas.openxmlformats.org/officeDocument/2006/relationships" r:embed="rId14"/>
        <a:stretch>
          <a:fillRect/>
        </a:stretch>
      </xdr:blipFill>
      <xdr:spPr>
        <a:xfrm>
          <a:off x="9177618" y="12583086"/>
          <a:ext cx="6345659" cy="2564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9</xdr:row>
      <xdr:rowOff>56950</xdr:rowOff>
    </xdr:to>
    <xdr:pic>
      <xdr:nvPicPr>
        <xdr:cNvPr id="2" name="图片 1">
          <a:extLst>
            <a:ext uri="{FF2B5EF4-FFF2-40B4-BE49-F238E27FC236}">
              <a16:creationId xmlns:a16="http://schemas.microsoft.com/office/drawing/2014/main" id="{0832962F-097B-BAF7-E9FB-50836EBEF223}"/>
            </a:ext>
          </a:extLst>
        </xdr:cNvPr>
        <xdr:cNvPicPr>
          <a:picLocks noChangeAspect="1"/>
        </xdr:cNvPicPr>
      </xdr:nvPicPr>
      <xdr:blipFill>
        <a:blip xmlns:r="http://schemas.openxmlformats.org/officeDocument/2006/relationships" r:embed="rId1"/>
        <a:stretch>
          <a:fillRect/>
        </a:stretch>
      </xdr:blipFill>
      <xdr:spPr>
        <a:xfrm>
          <a:off x="0" y="0"/>
          <a:ext cx="12209524" cy="1600000"/>
        </a:xfrm>
        <a:prstGeom prst="rect">
          <a:avLst/>
        </a:prstGeom>
      </xdr:spPr>
    </xdr:pic>
    <xdr:clientData/>
  </xdr:twoCellAnchor>
  <xdr:twoCellAnchor editAs="oneCell">
    <xdr:from>
      <xdr:col>0</xdr:col>
      <xdr:colOff>0</xdr:colOff>
      <xdr:row>9</xdr:row>
      <xdr:rowOff>76200</xdr:rowOff>
    </xdr:from>
    <xdr:to>
      <xdr:col>17</xdr:col>
      <xdr:colOff>312828</xdr:colOff>
      <xdr:row>34</xdr:row>
      <xdr:rowOff>28045</xdr:rowOff>
    </xdr:to>
    <xdr:pic>
      <xdr:nvPicPr>
        <xdr:cNvPr id="3" name="图片 2">
          <a:extLst>
            <a:ext uri="{FF2B5EF4-FFF2-40B4-BE49-F238E27FC236}">
              <a16:creationId xmlns:a16="http://schemas.microsoft.com/office/drawing/2014/main" id="{6A346E01-882E-70EF-3F06-5459FF2B90F9}"/>
            </a:ext>
          </a:extLst>
        </xdr:cNvPr>
        <xdr:cNvPicPr>
          <a:picLocks noChangeAspect="1"/>
        </xdr:cNvPicPr>
      </xdr:nvPicPr>
      <xdr:blipFill>
        <a:blip xmlns:r="http://schemas.openxmlformats.org/officeDocument/2006/relationships" r:embed="rId2"/>
        <a:stretch>
          <a:fillRect/>
        </a:stretch>
      </xdr:blipFill>
      <xdr:spPr>
        <a:xfrm>
          <a:off x="0" y="1619250"/>
          <a:ext cx="11971428" cy="4238095"/>
        </a:xfrm>
        <a:prstGeom prst="rect">
          <a:avLst/>
        </a:prstGeom>
      </xdr:spPr>
    </xdr:pic>
    <xdr:clientData/>
  </xdr:twoCellAnchor>
  <xdr:twoCellAnchor editAs="oneCell">
    <xdr:from>
      <xdr:col>0</xdr:col>
      <xdr:colOff>0</xdr:colOff>
      <xdr:row>34</xdr:row>
      <xdr:rowOff>47625</xdr:rowOff>
    </xdr:from>
    <xdr:to>
      <xdr:col>17</xdr:col>
      <xdr:colOff>531876</xdr:colOff>
      <xdr:row>41</xdr:row>
      <xdr:rowOff>47475</xdr:rowOff>
    </xdr:to>
    <xdr:pic>
      <xdr:nvPicPr>
        <xdr:cNvPr id="4" name="图片 3">
          <a:extLst>
            <a:ext uri="{FF2B5EF4-FFF2-40B4-BE49-F238E27FC236}">
              <a16:creationId xmlns:a16="http://schemas.microsoft.com/office/drawing/2014/main" id="{755196AA-065E-ADE0-AA6F-0D5BC4562672}"/>
            </a:ext>
          </a:extLst>
        </xdr:cNvPr>
        <xdr:cNvPicPr>
          <a:picLocks noChangeAspect="1"/>
        </xdr:cNvPicPr>
      </xdr:nvPicPr>
      <xdr:blipFill>
        <a:blip xmlns:r="http://schemas.openxmlformats.org/officeDocument/2006/relationships" r:embed="rId3"/>
        <a:stretch>
          <a:fillRect/>
        </a:stretch>
      </xdr:blipFill>
      <xdr:spPr>
        <a:xfrm>
          <a:off x="0" y="5876925"/>
          <a:ext cx="12190476" cy="1200000"/>
        </a:xfrm>
        <a:prstGeom prst="rect">
          <a:avLst/>
        </a:prstGeom>
      </xdr:spPr>
    </xdr:pic>
    <xdr:clientData/>
  </xdr:twoCellAnchor>
  <xdr:twoCellAnchor editAs="oneCell">
    <xdr:from>
      <xdr:col>0</xdr:col>
      <xdr:colOff>0</xdr:colOff>
      <xdr:row>42</xdr:row>
      <xdr:rowOff>0</xdr:rowOff>
    </xdr:from>
    <xdr:to>
      <xdr:col>17</xdr:col>
      <xdr:colOff>646162</xdr:colOff>
      <xdr:row>51</xdr:row>
      <xdr:rowOff>37902</xdr:rowOff>
    </xdr:to>
    <xdr:pic>
      <xdr:nvPicPr>
        <xdr:cNvPr id="5" name="图片 4">
          <a:extLst>
            <a:ext uri="{FF2B5EF4-FFF2-40B4-BE49-F238E27FC236}">
              <a16:creationId xmlns:a16="http://schemas.microsoft.com/office/drawing/2014/main" id="{8DA7CD77-0951-ABFE-5AF2-2D0E4AD35474}"/>
            </a:ext>
          </a:extLst>
        </xdr:cNvPr>
        <xdr:cNvPicPr>
          <a:picLocks noChangeAspect="1"/>
        </xdr:cNvPicPr>
      </xdr:nvPicPr>
      <xdr:blipFill>
        <a:blip xmlns:r="http://schemas.openxmlformats.org/officeDocument/2006/relationships" r:embed="rId4"/>
        <a:stretch>
          <a:fillRect/>
        </a:stretch>
      </xdr:blipFill>
      <xdr:spPr>
        <a:xfrm>
          <a:off x="0" y="7200900"/>
          <a:ext cx="12304762" cy="1580952"/>
        </a:xfrm>
        <a:prstGeom prst="rect">
          <a:avLst/>
        </a:prstGeom>
      </xdr:spPr>
    </xdr:pic>
    <xdr:clientData/>
  </xdr:twoCellAnchor>
  <xdr:twoCellAnchor editAs="oneCell">
    <xdr:from>
      <xdr:col>0</xdr:col>
      <xdr:colOff>9525</xdr:colOff>
      <xdr:row>51</xdr:row>
      <xdr:rowOff>38100</xdr:rowOff>
    </xdr:from>
    <xdr:to>
      <xdr:col>17</xdr:col>
      <xdr:colOff>331877</xdr:colOff>
      <xdr:row>79</xdr:row>
      <xdr:rowOff>56548</xdr:rowOff>
    </xdr:to>
    <xdr:pic>
      <xdr:nvPicPr>
        <xdr:cNvPr id="6" name="图片 5">
          <a:extLst>
            <a:ext uri="{FF2B5EF4-FFF2-40B4-BE49-F238E27FC236}">
              <a16:creationId xmlns:a16="http://schemas.microsoft.com/office/drawing/2014/main" id="{D271E611-99F4-3E1B-4AE2-D13D1EE2EFDB}"/>
            </a:ext>
          </a:extLst>
        </xdr:cNvPr>
        <xdr:cNvPicPr>
          <a:picLocks noChangeAspect="1"/>
        </xdr:cNvPicPr>
      </xdr:nvPicPr>
      <xdr:blipFill>
        <a:blip xmlns:r="http://schemas.openxmlformats.org/officeDocument/2006/relationships" r:embed="rId5"/>
        <a:stretch>
          <a:fillRect/>
        </a:stretch>
      </xdr:blipFill>
      <xdr:spPr>
        <a:xfrm>
          <a:off x="9525" y="8782050"/>
          <a:ext cx="11980952" cy="4819048"/>
        </a:xfrm>
        <a:prstGeom prst="rect">
          <a:avLst/>
        </a:prstGeom>
      </xdr:spPr>
    </xdr:pic>
    <xdr:clientData/>
  </xdr:twoCellAnchor>
  <xdr:twoCellAnchor editAs="oneCell">
    <xdr:from>
      <xdr:col>0</xdr:col>
      <xdr:colOff>0</xdr:colOff>
      <xdr:row>79</xdr:row>
      <xdr:rowOff>66675</xdr:rowOff>
    </xdr:from>
    <xdr:to>
      <xdr:col>17</xdr:col>
      <xdr:colOff>503305</xdr:colOff>
      <xdr:row>86</xdr:row>
      <xdr:rowOff>123668</xdr:rowOff>
    </xdr:to>
    <xdr:pic>
      <xdr:nvPicPr>
        <xdr:cNvPr id="7" name="图片 6">
          <a:extLst>
            <a:ext uri="{FF2B5EF4-FFF2-40B4-BE49-F238E27FC236}">
              <a16:creationId xmlns:a16="http://schemas.microsoft.com/office/drawing/2014/main" id="{98F4837B-0106-16D8-E4EF-A95267080371}"/>
            </a:ext>
          </a:extLst>
        </xdr:cNvPr>
        <xdr:cNvPicPr>
          <a:picLocks noChangeAspect="1"/>
        </xdr:cNvPicPr>
      </xdr:nvPicPr>
      <xdr:blipFill>
        <a:blip xmlns:r="http://schemas.openxmlformats.org/officeDocument/2006/relationships" r:embed="rId6"/>
        <a:stretch>
          <a:fillRect/>
        </a:stretch>
      </xdr:blipFill>
      <xdr:spPr>
        <a:xfrm>
          <a:off x="0" y="13611225"/>
          <a:ext cx="12161905" cy="1257143"/>
        </a:xfrm>
        <a:prstGeom prst="rect">
          <a:avLst/>
        </a:prstGeom>
      </xdr:spPr>
    </xdr:pic>
    <xdr:clientData/>
  </xdr:twoCellAnchor>
  <xdr:twoCellAnchor editAs="oneCell">
    <xdr:from>
      <xdr:col>22</xdr:col>
      <xdr:colOff>0</xdr:colOff>
      <xdr:row>0</xdr:row>
      <xdr:rowOff>0</xdr:rowOff>
    </xdr:from>
    <xdr:to>
      <xdr:col>39</xdr:col>
      <xdr:colOff>531881</xdr:colOff>
      <xdr:row>31</xdr:row>
      <xdr:rowOff>113074</xdr:rowOff>
    </xdr:to>
    <xdr:pic>
      <xdr:nvPicPr>
        <xdr:cNvPr id="11" name="图片 10">
          <a:extLst>
            <a:ext uri="{FF2B5EF4-FFF2-40B4-BE49-F238E27FC236}">
              <a16:creationId xmlns:a16="http://schemas.microsoft.com/office/drawing/2014/main" id="{7706D7D4-3417-2A89-47B6-3E75D8CDCE67}"/>
            </a:ext>
          </a:extLst>
        </xdr:cNvPr>
        <xdr:cNvPicPr>
          <a:picLocks noChangeAspect="1"/>
        </xdr:cNvPicPr>
      </xdr:nvPicPr>
      <xdr:blipFill>
        <a:blip xmlns:r="http://schemas.openxmlformats.org/officeDocument/2006/relationships" r:embed="rId7"/>
        <a:stretch>
          <a:fillRect/>
        </a:stretch>
      </xdr:blipFill>
      <xdr:spPr>
        <a:xfrm>
          <a:off x="15038294" y="0"/>
          <a:ext cx="12152381" cy="5323809"/>
        </a:xfrm>
        <a:prstGeom prst="rect">
          <a:avLst/>
        </a:prstGeom>
      </xdr:spPr>
    </xdr:pic>
    <xdr:clientData/>
  </xdr:twoCellAnchor>
  <xdr:twoCellAnchor editAs="oneCell">
    <xdr:from>
      <xdr:col>22</xdr:col>
      <xdr:colOff>0</xdr:colOff>
      <xdr:row>32</xdr:row>
      <xdr:rowOff>0</xdr:rowOff>
    </xdr:from>
    <xdr:to>
      <xdr:col>39</xdr:col>
      <xdr:colOff>569976</xdr:colOff>
      <xdr:row>39</xdr:row>
      <xdr:rowOff>128145</xdr:rowOff>
    </xdr:to>
    <xdr:pic>
      <xdr:nvPicPr>
        <xdr:cNvPr id="12" name="图片 11">
          <a:extLst>
            <a:ext uri="{FF2B5EF4-FFF2-40B4-BE49-F238E27FC236}">
              <a16:creationId xmlns:a16="http://schemas.microsoft.com/office/drawing/2014/main" id="{598D0867-6978-15A7-8B20-BCD31609102D}"/>
            </a:ext>
          </a:extLst>
        </xdr:cNvPr>
        <xdr:cNvPicPr>
          <a:picLocks noChangeAspect="1"/>
        </xdr:cNvPicPr>
      </xdr:nvPicPr>
      <xdr:blipFill>
        <a:blip xmlns:r="http://schemas.openxmlformats.org/officeDocument/2006/relationships" r:embed="rId8"/>
        <a:stretch>
          <a:fillRect/>
        </a:stretch>
      </xdr:blipFill>
      <xdr:spPr>
        <a:xfrm>
          <a:off x="15038294" y="5378824"/>
          <a:ext cx="12190476"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0157&#21271;&#20140;&#24066;&#22823;&#20852;&#21306;&#39759;&#21892;&#24196;&#38215;&#20849;&#26377;&#20135;&#26435;&#25151;&#22312;&#24314;&#24037;&#31243;\&#27979;&#31639;-&#22823;&#20852;&#21306;&#39759;&#21892;&#24196;&#38215;&#20849;&#26377;&#20135;&#26435;&#25151;&#22312;&#24314;&#24037;&#31243;.xlsx" TargetMode="External"/><Relationship Id="rId1" Type="http://schemas.openxmlformats.org/officeDocument/2006/relationships/externalLinkPath" Target="&#27979;&#31639;-&#22823;&#20852;&#21306;&#39759;&#21892;&#24196;&#38215;&#20849;&#26377;&#20135;&#26435;&#25151;&#22312;&#24314;&#24037;&#3124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4402;&#26723;\2025-1-0157&#21271;&#20140;&#24066;&#22823;&#20852;&#21306;&#39759;&#21892;&#24196;&#38215;&#20849;&#26377;&#20135;&#26435;&#25151;&#22312;&#24314;&#24037;&#31243;\&#36807;&#31243;\&#27979;&#31639;-&#22823;&#20852;&#21306;&#39759;&#21892;&#24196;&#38215;&#20849;&#26377;&#20135;&#26435;&#25151;-&#20108;&#23457;.xlsx" TargetMode="External"/><Relationship Id="rId1" Type="http://schemas.openxmlformats.org/officeDocument/2006/relationships/externalLinkPath" Target="/&#24037;&#20316;/&#24402;&#26723;/2025-1-0157&#21271;&#20140;&#24066;&#22823;&#20852;&#21306;&#39759;&#21892;&#24196;&#38215;&#20849;&#26377;&#20135;&#26435;&#25151;&#22312;&#24314;&#24037;&#31243;/&#36807;&#31243;/&#27979;&#31639;-&#22823;&#20852;&#21306;&#39759;&#21892;&#24196;&#38215;&#20849;&#26377;&#20135;&#26435;&#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案例-车位"/>
      <sheetName val="比较法-仓储"/>
      <sheetName val="案例-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住宅</v>
          </cell>
        </row>
        <row r="20">
          <cell r="C20" t="str">
            <v>商业</v>
          </cell>
        </row>
        <row r="21">
          <cell r="C21" t="str">
            <v>地下仓储</v>
          </cell>
        </row>
        <row r="22">
          <cell r="C22" t="str">
            <v>地下车库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3" refreshError="1"/>
      <sheetData sheetId="34">
        <row r="49">
          <cell r="A49" t="str">
            <v>交易情况</v>
          </cell>
          <cell r="C49" t="str">
            <v>正常</v>
          </cell>
        </row>
        <row r="51">
          <cell r="B51" t="str">
            <v>用途</v>
          </cell>
          <cell r="C51" t="str">
            <v>地下仓储</v>
          </cell>
        </row>
        <row r="69">
          <cell r="B69" t="str">
            <v>楼层</v>
          </cell>
        </row>
        <row r="77">
          <cell r="B77" t="str">
            <v>公共部分装修</v>
          </cell>
        </row>
        <row r="82">
          <cell r="B82" t="str">
            <v>物业等级</v>
          </cell>
        </row>
        <row r="84">
          <cell r="B84" t="str">
            <v>有无电梯</v>
          </cell>
        </row>
        <row r="89">
          <cell r="B89" t="str">
            <v>是否封闭</v>
          </cell>
        </row>
      </sheetData>
      <sheetData sheetId="35" refreshError="1"/>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按测绘面积"/>
      <sheetName val="测绘"/>
      <sheetName val="数据-汇总表"/>
      <sheetName val="数据-取费表"/>
      <sheetName val="估价对象房地状况"/>
      <sheetName val="系统读取表"/>
      <sheetName val="结果表"/>
      <sheetName val="成本法"/>
      <sheetName val="成本法 (元)"/>
      <sheetName val="土地比较法-住宅、综合"/>
      <sheetName val="地价"/>
      <sheetName val="地价-分区"/>
      <sheetName val="土地案例"/>
      <sheetName val="假设开发法"/>
      <sheetName val="收益法 (元)"/>
      <sheetName val="收益法-酒店模型"/>
      <sheetName val="收益法（汇总）"/>
      <sheetName val="比较法-住宅"/>
      <sheetName val="比较法-商业"/>
      <sheetName val="比较法-办公"/>
      <sheetName val="比较法-工业"/>
      <sheetName val="住宅案例"/>
      <sheetName val="比较法-车位"/>
      <sheetName val="车位案例"/>
      <sheetName val="收益法"/>
      <sheetName val="比较法-仓储"/>
      <sheetName val="仓储案例"/>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3">
          <cell r="A3">
            <v>95947</v>
          </cell>
        </row>
      </sheetData>
      <sheetData sheetId="13" refreshError="1"/>
      <sheetData sheetId="14">
        <row r="71">
          <cell r="D71">
            <v>302275.8899999999</v>
          </cell>
        </row>
      </sheetData>
      <sheetData sheetId="15" refreshError="1"/>
      <sheetData sheetId="16">
        <row r="3">
          <cell r="E3">
            <v>276440.40000000002</v>
          </cell>
        </row>
        <row r="17">
          <cell r="C17" t="str">
            <v>项目类型</v>
          </cell>
        </row>
        <row r="19">
          <cell r="C19" t="str">
            <v>住宅</v>
          </cell>
        </row>
        <row r="20">
          <cell r="C20" t="str">
            <v>商业</v>
          </cell>
        </row>
        <row r="21">
          <cell r="C21" t="str">
            <v>地下仓储</v>
          </cell>
        </row>
        <row r="22">
          <cell r="C22"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4" refreshError="1"/>
      <sheetData sheetId="25" refreshError="1"/>
      <sheetData sheetId="26">
        <row r="3">
          <cell r="A3" t="str">
            <v>大兴区旧宫镇YZ00-0902-0340、6002、6003(原DX05-0102-0340、6002、6003)F81 集体产业用地</v>
          </cell>
        </row>
      </sheetData>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efreshError="1"/>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估价对象为北京市房地产，为所有。根据《国有土地使用证》[]，估价对象（分摊）出让国有建设用地使用权面积为61673.46平方米，建筑面积为195888.83平方米。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估价对象为北京市房地产,属开发建设的，该项目尚在开发建设中。根据《国有土地使用证》[]，估价对象（分摊）出让国有建设用地使用权面积为61673.46平方米，规划建筑面积为195888.83平方米。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2025年11月1日（评估专业人员实地查勘之日）</v>
      </c>
    </row>
    <row r="13" spans="1:2">
      <c r="A13" s="1119" t="s">
        <v>529</v>
      </c>
      <c r="B13" s="1120" t="str">
        <f>'预评函-1'!A18</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本次评估采用的主估价方法为成本法和假设开发法。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304001</v>
      </c>
    </row>
    <row r="21" spans="1:2">
      <c r="A21" s="1119" t="s">
        <v>537</v>
      </c>
      <c r="B21" s="1120">
        <f ca="1">'预评函-2'!D7</f>
        <v>15519</v>
      </c>
    </row>
    <row r="22" spans="1:2">
      <c r="A22" s="1119" t="s">
        <v>538</v>
      </c>
      <c r="B22" s="1120" t="str">
        <f ca="1">'预评函-2'!D6</f>
        <v>叁拾亿肆仟零壹万元整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304001</v>
      </c>
    </row>
    <row r="31" spans="1:2">
      <c r="A31" s="1119" t="s">
        <v>576</v>
      </c>
      <c r="B31" s="1120">
        <f ca="1">'预评函-2'!D15</f>
        <v>15519</v>
      </c>
    </row>
    <row r="32" spans="1:2">
      <c r="A32" s="1119" t="s">
        <v>543</v>
      </c>
      <c r="B32" s="1120" t="str">
        <f ca="1">'预评函-2'!D14</f>
        <v>叁拾亿肆仟零壹万元整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195888.83</v>
      </c>
    </row>
    <row r="44" spans="1:2">
      <c r="A44" s="1119" t="s">
        <v>575</v>
      </c>
      <c r="B44" s="1120" t="str">
        <f>'预评函-3'!C2</f>
        <v>(分摊)土地面积</v>
      </c>
    </row>
    <row r="45" spans="1:2">
      <c r="A45" s="1119" t="s">
        <v>547</v>
      </c>
      <c r="B45" s="1120">
        <f>'预评函-3'!C4</f>
        <v>61673.46</v>
      </c>
    </row>
    <row r="46" spans="1:2">
      <c r="A46" s="1119" t="s">
        <v>573</v>
      </c>
      <c r="B46" s="1120" t="str">
        <f>'预评函-3'!D2</f>
        <v>出让国有建设用地使用权价值</v>
      </c>
    </row>
    <row r="47" spans="1:2">
      <c r="A47" s="1119" t="s">
        <v>548</v>
      </c>
      <c r="B47" s="1120">
        <f ca="1">'预评函-3'!D4</f>
        <v>231345</v>
      </c>
    </row>
    <row r="48" spans="1:2">
      <c r="A48" s="1119" t="s">
        <v>549</v>
      </c>
      <c r="B48" s="1120">
        <f ca="1">'预评函-3'!E4</f>
        <v>11810</v>
      </c>
    </row>
    <row r="49" spans="1:2">
      <c r="A49" s="1119" t="s">
        <v>550</v>
      </c>
      <c r="B49" s="1120" t="str">
        <f ca="1">'预评函-3'!D5</f>
        <v>贰拾叁亿壹仟叁佰肆拾伍万元整</v>
      </c>
    </row>
    <row r="50" spans="1:2">
      <c r="A50" s="1119" t="s">
        <v>574</v>
      </c>
      <c r="B50" s="1120" t="str">
        <f>'预评函-3'!F2</f>
        <v>在建建筑物价值</v>
      </c>
    </row>
    <row r="51" spans="1:2">
      <c r="A51" s="1119" t="s">
        <v>551</v>
      </c>
      <c r="B51" s="1120">
        <f ca="1">'预评函-3'!F4</f>
        <v>72656</v>
      </c>
    </row>
    <row r="52" spans="1:2">
      <c r="A52" s="1119" t="s">
        <v>552</v>
      </c>
      <c r="B52" s="1120">
        <f ca="1">'预评函-3'!G4</f>
        <v>3709</v>
      </c>
    </row>
    <row r="53" spans="1:2">
      <c r="A53" s="1119" t="s">
        <v>580</v>
      </c>
      <c r="B53" s="1120" t="str">
        <f ca="1">'预评函-3'!F5</f>
        <v>柒亿贰仟陆佰伍拾陆万元整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3392</v>
      </c>
      <c r="AA1" s="1438" t="s">
        <v>3391</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3398</v>
      </c>
      <c r="Z2" s="1445" t="s">
        <v>2442</v>
      </c>
      <c r="AA2" s="1445" t="s">
        <v>3399</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3400</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3401</v>
      </c>
      <c r="Z8" s="1445" t="s">
        <v>2454</v>
      </c>
      <c r="AB8" s="1445" t="s">
        <v>2480</v>
      </c>
    </row>
    <row r="9" spans="1:28">
      <c r="A9" s="1441" t="s">
        <v>1029</v>
      </c>
      <c r="B9" s="1441" t="s">
        <v>1030</v>
      </c>
      <c r="C9" s="1442" t="s">
        <v>320</v>
      </c>
      <c r="F9" s="1443" t="s">
        <v>1031</v>
      </c>
      <c r="H9" s="1443"/>
      <c r="I9" s="1445" t="s">
        <v>3332</v>
      </c>
      <c r="X9" s="1445" t="s">
        <v>3402</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7" t="s">
        <v>385</v>
      </c>
      <c r="C54" s="1445" t="s">
        <v>583</v>
      </c>
    </row>
    <row r="55" spans="1:4">
      <c r="A55" s="3244"/>
      <c r="B55" s="1447" t="s">
        <v>386</v>
      </c>
      <c r="C55" s="1445" t="s">
        <v>584</v>
      </c>
    </row>
    <row r="56" spans="1:4">
      <c r="A56" s="3244"/>
      <c r="B56" s="1447" t="s">
        <v>387</v>
      </c>
      <c r="C56" s="1445" t="s">
        <v>588</v>
      </c>
    </row>
    <row r="57" spans="1:4">
      <c r="A57" s="324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N28" sqref="A28:N38"/>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2490</v>
      </c>
      <c r="B1" s="2757"/>
      <c r="C1" s="2757"/>
      <c r="D1" s="2757"/>
      <c r="E1" s="2757"/>
      <c r="F1" s="2758"/>
      <c r="I1" s="3135" t="s">
        <v>2583</v>
      </c>
      <c r="J1" s="2783"/>
      <c r="K1" s="2783"/>
      <c r="L1" s="2783"/>
      <c r="M1" s="2783"/>
      <c r="N1" s="2968"/>
      <c r="O1" s="2968"/>
      <c r="P1" s="2968"/>
      <c r="Q1" s="2968"/>
      <c r="R1" s="2968"/>
    </row>
    <row r="2" spans="1:18">
      <c r="A2" s="2760"/>
      <c r="B2" s="2761"/>
      <c r="C2" s="2761"/>
      <c r="D2" s="2761"/>
      <c r="E2" s="2761"/>
      <c r="F2" s="2762"/>
      <c r="I2" s="3245" t="s">
        <v>2570</v>
      </c>
      <c r="J2" s="3245"/>
      <c r="K2" s="3245"/>
      <c r="L2" s="3245"/>
      <c r="M2" s="3245"/>
      <c r="N2" s="3245"/>
      <c r="O2" s="3245"/>
      <c r="P2" s="3245"/>
      <c r="Q2" s="3245"/>
      <c r="R2" s="3245"/>
    </row>
    <row r="3" spans="1:18">
      <c r="A3" s="2763" t="s">
        <v>2491</v>
      </c>
      <c r="B3" s="2764">
        <f>项目基本情况!D3</f>
        <v>45962</v>
      </c>
      <c r="C3" s="2766"/>
      <c r="D3" s="2766"/>
      <c r="E3" s="2766"/>
      <c r="F3" s="2762"/>
      <c r="I3" s="2778"/>
      <c r="J3" s="2778" t="s">
        <v>2574</v>
      </c>
      <c r="K3" s="2778" t="s">
        <v>2575</v>
      </c>
      <c r="L3" s="2778" t="s">
        <v>2576</v>
      </c>
      <c r="M3" s="2778" t="s">
        <v>2577</v>
      </c>
      <c r="N3" s="3136" t="s">
        <v>2578</v>
      </c>
      <c r="O3" s="3136" t="s">
        <v>2579</v>
      </c>
      <c r="P3" s="3136" t="s">
        <v>2580</v>
      </c>
      <c r="Q3" s="3136" t="s">
        <v>2581</v>
      </c>
      <c r="R3" s="3136" t="s">
        <v>2582</v>
      </c>
    </row>
    <row r="4" spans="1:18">
      <c r="A4" s="2763" t="s">
        <v>2492</v>
      </c>
      <c r="B4" s="2766" t="s">
        <v>2493</v>
      </c>
      <c r="C4" s="2766" t="s">
        <v>2494</v>
      </c>
      <c r="D4" s="2766" t="s">
        <v>2495</v>
      </c>
      <c r="E4" s="2766" t="s">
        <v>2496</v>
      </c>
      <c r="F4" s="2762"/>
      <c r="I4" s="2778" t="s">
        <v>2571</v>
      </c>
      <c r="J4" s="2778">
        <v>80</v>
      </c>
      <c r="K4" s="2778">
        <v>70</v>
      </c>
      <c r="L4" s="2778">
        <v>20</v>
      </c>
      <c r="M4" s="2778">
        <v>30</v>
      </c>
      <c r="N4" s="2766">
        <v>45</v>
      </c>
      <c r="O4" s="2766">
        <v>60</v>
      </c>
      <c r="P4" s="2766">
        <v>50</v>
      </c>
      <c r="Q4" s="2766">
        <v>20</v>
      </c>
      <c r="R4" s="2766">
        <v>375</v>
      </c>
    </row>
    <row r="5" spans="1:18">
      <c r="A5" s="2767">
        <v>40</v>
      </c>
      <c r="B5" s="2764">
        <v>46375</v>
      </c>
      <c r="C5" s="2766">
        <f>ROUNDDOWN(MIN((B5-B3)/365,A5),2)</f>
        <v>1.1299999999999999</v>
      </c>
      <c r="D5" s="2768">
        <f>IF(ISERROR(ROUND(POWER(1+E5,A5-C5)*(POWER(1+E5,C5)-1)/(POWER(1+E5,A5)-1),3)),0,ROUND(POWER(1+E5,A5-C5)*(POWER(1+E5,C5)-1)/(POWER(1+E5,A5)-1),4))</f>
        <v>5.4800000000000001E-2</v>
      </c>
      <c r="E5" s="2769">
        <v>0.04</v>
      </c>
      <c r="F5" s="2762"/>
      <c r="I5" s="2778" t="s">
        <v>2572</v>
      </c>
      <c r="J5" s="2778">
        <v>70</v>
      </c>
      <c r="K5" s="2778">
        <v>60</v>
      </c>
      <c r="L5" s="2778">
        <v>15</v>
      </c>
      <c r="M5" s="2778">
        <v>25</v>
      </c>
      <c r="N5" s="2766">
        <v>40</v>
      </c>
      <c r="O5" s="2766">
        <v>50</v>
      </c>
      <c r="P5" s="2766">
        <v>40</v>
      </c>
      <c r="Q5" s="2766">
        <v>15</v>
      </c>
      <c r="R5" s="2766">
        <v>315</v>
      </c>
    </row>
    <row r="6" spans="1:18">
      <c r="A6" s="2767">
        <v>50</v>
      </c>
      <c r="B6" s="2764">
        <v>50028</v>
      </c>
      <c r="C6" s="2766">
        <f>ROUNDDOWN(MIN((B6-B3)/365,A6),2)</f>
        <v>11.13</v>
      </c>
      <c r="D6" s="2768">
        <f>IF(ISERROR(ROUND(POWER(1+E6,A6-C6)*(POWER(1+E6,C6)-1)/(POWER(1+E6,A6)-1),3)),0,ROUND(POWER(1+E6,A6-C6)*(POWER(1+E6,C6)-1)/(POWER(1+E6,A6)-1),4))</f>
        <v>0.41160000000000002</v>
      </c>
      <c r="E6" s="2769">
        <v>0.04</v>
      </c>
      <c r="F6" s="2762"/>
      <c r="I6" s="2778" t="s">
        <v>2573</v>
      </c>
      <c r="J6" s="2778">
        <v>60</v>
      </c>
      <c r="K6" s="2778">
        <v>50</v>
      </c>
      <c r="L6" s="2778">
        <v>10</v>
      </c>
      <c r="M6" s="2778">
        <v>20</v>
      </c>
      <c r="N6" s="2766">
        <v>35</v>
      </c>
      <c r="O6" s="2766">
        <v>40</v>
      </c>
      <c r="P6" s="2766">
        <v>30</v>
      </c>
      <c r="Q6" s="2766">
        <v>10</v>
      </c>
      <c r="R6" s="2766">
        <v>255</v>
      </c>
    </row>
    <row r="7" spans="1:18">
      <c r="A7" s="2767">
        <v>70</v>
      </c>
      <c r="B7" s="2764">
        <v>57333</v>
      </c>
      <c r="C7" s="2766">
        <f>ROUNDDOWN(MIN((B7-B3)/365,A7),2)</f>
        <v>31.15</v>
      </c>
      <c r="D7" s="2768">
        <f>IF(ISERROR(ROUND(POWER(1+E7,A7-C7)*(POWER(1+E7,C7)-1)/(POWER(1+E7,A7)-1),3)),0,ROUND(POWER(1+E7,A7-C7)*(POWER(1+E7,C7)-1)/(POWER(1+E7,A7)-1),4))</f>
        <v>0.75370000000000004</v>
      </c>
      <c r="E7" s="2769">
        <v>0.04</v>
      </c>
      <c r="F7" s="2762"/>
    </row>
    <row r="8" spans="1:18">
      <c r="A8" s="2760"/>
      <c r="B8" s="2761"/>
      <c r="C8" s="2761"/>
      <c r="D8" s="2761"/>
      <c r="E8" s="2761"/>
      <c r="F8" s="2762"/>
    </row>
    <row r="9" spans="1:18">
      <c r="A9" s="2763" t="s">
        <v>2497</v>
      </c>
      <c r="B9" s="2766"/>
      <c r="C9" s="2766"/>
      <c r="D9" s="2766"/>
      <c r="E9" s="2766"/>
      <c r="F9" s="2770"/>
    </row>
    <row r="10" spans="1:18">
      <c r="A10" s="2763" t="s">
        <v>2498</v>
      </c>
      <c r="B10" s="2766"/>
      <c r="C10" s="2766"/>
      <c r="D10" s="2766" t="s">
        <v>2496</v>
      </c>
      <c r="E10" s="2766"/>
      <c r="F10" s="2770" t="s">
        <v>2495</v>
      </c>
    </row>
    <row r="11" spans="1:18">
      <c r="A11" s="2763" t="s">
        <v>2499</v>
      </c>
      <c r="B11" s="2771">
        <v>70</v>
      </c>
      <c r="C11" s="2766" t="s">
        <v>2500</v>
      </c>
      <c r="D11" s="2771">
        <v>4.4999999999999998E-2</v>
      </c>
      <c r="E11" s="2766" t="s">
        <v>2501</v>
      </c>
      <c r="F11" s="2772">
        <f>ROUND(1-(1/(POWER(1+D11,B11))),4)</f>
        <v>0.95409999999999995</v>
      </c>
    </row>
    <row r="12" spans="1:18">
      <c r="A12" s="2763" t="s">
        <v>2502</v>
      </c>
      <c r="B12" s="2771">
        <v>40</v>
      </c>
      <c r="C12" s="2766" t="s">
        <v>2503</v>
      </c>
      <c r="D12" s="2771">
        <v>4.4999999999999998E-2</v>
      </c>
      <c r="E12" s="2766" t="s">
        <v>2504</v>
      </c>
      <c r="F12" s="2772">
        <f>ROUND(1-(1/(POWER(1+D12,B12))),4)</f>
        <v>0.82809999999999995</v>
      </c>
    </row>
    <row r="13" spans="1:18">
      <c r="A13" s="2763" t="s">
        <v>2505</v>
      </c>
      <c r="B13" s="2766"/>
      <c r="C13" s="2766"/>
      <c r="D13" s="2761"/>
      <c r="E13" s="2761"/>
      <c r="F13" s="2762"/>
    </row>
    <row r="14" spans="1:18">
      <c r="A14" s="2763" t="s">
        <v>2506</v>
      </c>
      <c r="B14" s="2771">
        <v>5000</v>
      </c>
      <c r="C14" s="2765"/>
      <c r="D14" s="2761"/>
      <c r="E14" s="2761"/>
      <c r="F14" s="2762"/>
    </row>
    <row r="15" spans="1:18">
      <c r="A15" s="2763" t="s">
        <v>2507</v>
      </c>
      <c r="B15" s="2766">
        <f>ROUND(B14*F12/F11,2)</f>
        <v>4339.6899999999996</v>
      </c>
      <c r="C15" s="2766">
        <f>ROUND(F12/F11,4)</f>
        <v>0.8679</v>
      </c>
      <c r="D15" s="2761"/>
      <c r="E15" s="2761"/>
      <c r="F15" s="2762"/>
    </row>
    <row r="16" spans="1:18">
      <c r="A16" s="2763" t="s">
        <v>2508</v>
      </c>
      <c r="B16" s="2766"/>
      <c r="C16" s="2766"/>
      <c r="D16" s="2761"/>
      <c r="E16" s="2761"/>
      <c r="F16" s="2762"/>
    </row>
    <row r="17" spans="1:14">
      <c r="A17" s="2763" t="s">
        <v>2507</v>
      </c>
      <c r="B17" s="2771">
        <v>4810</v>
      </c>
      <c r="C17" s="2765"/>
      <c r="D17" s="2761"/>
      <c r="E17" s="2761"/>
      <c r="F17" s="2762"/>
    </row>
    <row r="18" spans="1:14" ht="14.25" thickBot="1">
      <c r="A18" s="2773" t="s">
        <v>2506</v>
      </c>
      <c r="B18" s="2774">
        <f>ROUND(B17*F11/F12,2)</f>
        <v>5541.87</v>
      </c>
      <c r="C18" s="2774">
        <f>ROUND(F11/F12,4)</f>
        <v>1.1521999999999999</v>
      </c>
      <c r="D18" s="2775"/>
      <c r="E18" s="2775"/>
      <c r="F18" s="2776"/>
    </row>
    <row r="19" spans="1:14" ht="14.25" thickBot="1"/>
    <row r="20" spans="1:14" s="2809" customFormat="1" ht="14.25" thickTop="1">
      <c r="A20" s="2806" t="s">
        <v>2509</v>
      </c>
      <c r="B20" s="2807"/>
      <c r="C20" s="2807"/>
      <c r="D20" s="2807"/>
      <c r="E20" s="2807"/>
      <c r="F20" s="2807"/>
      <c r="G20" s="2808"/>
      <c r="I20" s="2810" t="s">
        <v>2554</v>
      </c>
      <c r="J20" s="2810" t="s">
        <v>2559</v>
      </c>
      <c r="K20" s="2810"/>
      <c r="L20" s="2810"/>
      <c r="M20" s="2810"/>
    </row>
    <row r="21" spans="1:14">
      <c r="A21" s="2777"/>
      <c r="B21" s="2778" t="s">
        <v>2510</v>
      </c>
      <c r="C21" s="2778" t="s">
        <v>2511</v>
      </c>
      <c r="D21" s="2778" t="s">
        <v>2512</v>
      </c>
      <c r="E21" s="2778" t="s">
        <v>2513</v>
      </c>
      <c r="F21" s="2778" t="s">
        <v>2514</v>
      </c>
      <c r="G21" s="2779" t="s">
        <v>2515</v>
      </c>
      <c r="I21" s="2800">
        <v>5</v>
      </c>
      <c r="J21" s="2800">
        <v>54.2</v>
      </c>
    </row>
    <row r="22" spans="1:14">
      <c r="A22" s="2777" t="s">
        <v>2516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2557</v>
      </c>
      <c r="N23" s="3153" t="s">
        <v>2558</v>
      </c>
    </row>
    <row r="24" spans="1:14">
      <c r="A24" s="2777" t="s">
        <v>2518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2556</v>
      </c>
      <c r="N24" s="3153">
        <v>10</v>
      </c>
    </row>
    <row r="25" spans="1:14">
      <c r="A25" s="2777" t="s">
        <v>2519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2560</v>
      </c>
      <c r="N25" s="3153">
        <v>8</v>
      </c>
    </row>
    <row r="26" spans="1:14">
      <c r="A26" s="2782"/>
      <c r="B26" s="2783"/>
      <c r="C26" s="2783"/>
      <c r="D26" s="2783"/>
      <c r="E26" s="2783"/>
      <c r="F26" s="2783"/>
      <c r="G26" s="2784"/>
      <c r="I26" s="2800">
        <v>30</v>
      </c>
      <c r="J26" s="2800">
        <v>90.5</v>
      </c>
      <c r="K26" s="2800">
        <f t="shared" si="2"/>
        <v>4.2000000000000028</v>
      </c>
      <c r="L26" s="2800" t="s">
        <v>2561</v>
      </c>
      <c r="N26" s="3153">
        <v>5</v>
      </c>
    </row>
    <row r="27" spans="1:14">
      <c r="A27" s="2782" t="s">
        <v>2520</v>
      </c>
      <c r="B27" s="2783"/>
      <c r="C27" s="2783"/>
      <c r="D27" s="2783"/>
      <c r="E27" s="2783"/>
      <c r="F27" s="2783"/>
      <c r="G27" s="2784"/>
      <c r="I27" s="2800">
        <v>35</v>
      </c>
      <c r="J27" s="2800">
        <v>93.8</v>
      </c>
      <c r="K27" s="2800">
        <f t="shared" si="2"/>
        <v>3.2999999999999972</v>
      </c>
      <c r="L27" s="2800" t="s">
        <v>2562</v>
      </c>
      <c r="N27" s="3153">
        <v>3</v>
      </c>
    </row>
    <row r="28" spans="1:14">
      <c r="A28" s="2782" t="s">
        <v>2521</v>
      </c>
      <c r="B28" s="2783"/>
      <c r="C28" s="2783"/>
      <c r="D28" s="2783"/>
      <c r="E28" s="2783"/>
      <c r="F28" s="2783"/>
      <c r="G28" s="2784"/>
      <c r="I28" s="2800">
        <v>40</v>
      </c>
      <c r="J28" s="2800">
        <v>96.4</v>
      </c>
      <c r="K28" s="2800">
        <f t="shared" si="2"/>
        <v>2.6000000000000085</v>
      </c>
      <c r="L28" s="2800" t="s">
        <v>2563</v>
      </c>
      <c r="N28" s="3153">
        <v>2</v>
      </c>
    </row>
    <row r="29" spans="1:14">
      <c r="A29" s="2782" t="s">
        <v>2522</v>
      </c>
      <c r="B29" s="2783"/>
      <c r="C29" s="2783"/>
      <c r="D29" s="2783"/>
      <c r="E29" s="2783"/>
      <c r="F29" s="2783"/>
      <c r="G29" s="2784"/>
      <c r="I29" s="2800">
        <v>45</v>
      </c>
      <c r="J29" s="2800">
        <v>98.4</v>
      </c>
      <c r="K29" s="2800">
        <f t="shared" si="2"/>
        <v>2</v>
      </c>
    </row>
    <row r="30" spans="1:14">
      <c r="A30" s="2782" t="s">
        <v>2523</v>
      </c>
      <c r="B30" s="2783"/>
      <c r="C30" s="2783"/>
      <c r="D30" s="2783"/>
      <c r="E30" s="2783"/>
      <c r="F30" s="2783"/>
      <c r="G30" s="2784"/>
      <c r="I30" s="2800">
        <v>50</v>
      </c>
      <c r="J30" s="2800">
        <v>100</v>
      </c>
      <c r="K30" s="2800">
        <f t="shared" si="2"/>
        <v>1.5999999999999943</v>
      </c>
    </row>
    <row r="31" spans="1:14">
      <c r="A31" s="2782" t="s">
        <v>2524</v>
      </c>
      <c r="B31" s="2783"/>
      <c r="C31" s="2783"/>
      <c r="D31" s="2783"/>
      <c r="E31" s="2783"/>
      <c r="F31" s="2783"/>
      <c r="G31" s="2784"/>
      <c r="I31" s="2800" t="s">
        <v>2555</v>
      </c>
    </row>
    <row r="32" spans="1:14">
      <c r="A32" s="2782" t="s">
        <v>2525</v>
      </c>
      <c r="B32" s="2783"/>
      <c r="C32" s="2783"/>
      <c r="D32" s="2783"/>
      <c r="E32" s="2783"/>
      <c r="F32" s="2783"/>
      <c r="G32" s="2784"/>
    </row>
    <row r="33" spans="1:14">
      <c r="A33" s="2782" t="s">
        <v>2526</v>
      </c>
      <c r="B33" s="2783"/>
      <c r="C33" s="2783"/>
      <c r="D33" s="2783"/>
      <c r="E33" s="2783"/>
      <c r="F33" s="2783"/>
      <c r="G33" s="2784"/>
      <c r="I33" s="2800" t="s">
        <v>2554</v>
      </c>
      <c r="J33" s="2800" t="s">
        <v>2564</v>
      </c>
    </row>
    <row r="34" spans="1:14">
      <c r="A34" s="2782" t="s">
        <v>2527</v>
      </c>
      <c r="B34" s="2783"/>
      <c r="C34" s="2783"/>
      <c r="D34" s="2783"/>
      <c r="E34" s="2783"/>
      <c r="F34" s="2783"/>
      <c r="G34" s="2784"/>
      <c r="I34" s="2800">
        <v>5</v>
      </c>
      <c r="J34" s="2800">
        <v>55.1</v>
      </c>
    </row>
    <row r="35" spans="1:14">
      <c r="A35" s="2782" t="s">
        <v>2528</v>
      </c>
      <c r="B35" s="2783"/>
      <c r="C35" s="2783"/>
      <c r="D35" s="2783"/>
      <c r="E35" s="2783"/>
      <c r="F35" s="2783"/>
      <c r="G35" s="2784"/>
      <c r="I35" s="2800">
        <v>10</v>
      </c>
      <c r="J35" s="2800">
        <v>67</v>
      </c>
      <c r="K35" s="2800">
        <f>J35-J34</f>
        <v>11.899999999999999</v>
      </c>
    </row>
    <row r="36" spans="1:14">
      <c r="A36" s="2782" t="s">
        <v>2529</v>
      </c>
      <c r="B36" s="2783"/>
      <c r="C36" s="2783"/>
      <c r="D36" s="2783"/>
      <c r="E36" s="2783"/>
      <c r="F36" s="2783"/>
      <c r="G36" s="2784"/>
      <c r="I36" s="2800">
        <v>15</v>
      </c>
      <c r="J36" s="2800">
        <v>76.3</v>
      </c>
      <c r="K36" s="2800">
        <f t="shared" ref="K36:K41" si="3">J36-J35</f>
        <v>9.2999999999999972</v>
      </c>
      <c r="L36" s="2800" t="s">
        <v>2557</v>
      </c>
      <c r="N36" s="3153" t="s">
        <v>2558</v>
      </c>
    </row>
    <row r="37" spans="1:14">
      <c r="A37" s="2782" t="s">
        <v>2530</v>
      </c>
      <c r="B37" s="2783"/>
      <c r="C37" s="2783"/>
      <c r="D37" s="2783"/>
      <c r="E37" s="2783"/>
      <c r="F37" s="2783"/>
      <c r="G37" s="2784"/>
      <c r="I37" s="2800">
        <v>20</v>
      </c>
      <c r="J37" s="2800">
        <v>83.6</v>
      </c>
      <c r="K37" s="2800">
        <f t="shared" si="3"/>
        <v>7.2999999999999972</v>
      </c>
      <c r="L37" s="2800" t="s">
        <v>2556</v>
      </c>
      <c r="N37" s="3153">
        <v>10</v>
      </c>
    </row>
    <row r="38" spans="1:14">
      <c r="A38" s="2782" t="s">
        <v>2531</v>
      </c>
      <c r="B38" s="2783"/>
      <c r="C38" s="2783"/>
      <c r="D38" s="2783"/>
      <c r="E38" s="2783"/>
      <c r="F38" s="2783"/>
      <c r="G38" s="2784"/>
      <c r="I38" s="2800">
        <v>25</v>
      </c>
      <c r="J38" s="2800">
        <v>89.3</v>
      </c>
      <c r="K38" s="2800">
        <f t="shared" si="3"/>
        <v>5.7000000000000028</v>
      </c>
      <c r="L38" s="2800" t="s">
        <v>2560</v>
      </c>
      <c r="N38" s="3153">
        <v>8</v>
      </c>
    </row>
    <row r="39" spans="1:14">
      <c r="A39" s="2782"/>
      <c r="B39" s="2783"/>
      <c r="C39" s="2783"/>
      <c r="D39" s="2783"/>
      <c r="E39" s="2783"/>
      <c r="F39" s="2783"/>
      <c r="G39" s="2784"/>
      <c r="I39" s="2800">
        <v>30</v>
      </c>
      <c r="J39" s="2800">
        <v>93.8</v>
      </c>
      <c r="K39" s="2800">
        <f t="shared" si="3"/>
        <v>4.5</v>
      </c>
      <c r="L39" s="2800" t="s">
        <v>2561</v>
      </c>
      <c r="N39" s="3153">
        <v>6</v>
      </c>
    </row>
    <row r="40" spans="1:14">
      <c r="A40" s="2785" t="s">
        <v>2532</v>
      </c>
      <c r="B40" s="2786"/>
      <c r="C40" s="2786"/>
      <c r="D40" s="2786"/>
      <c r="E40" s="2786"/>
      <c r="F40" s="2786"/>
      <c r="G40" s="2787"/>
      <c r="I40" s="2800">
        <v>35</v>
      </c>
      <c r="J40" s="2800">
        <v>97.2</v>
      </c>
      <c r="K40" s="2800">
        <f t="shared" si="3"/>
        <v>3.4000000000000057</v>
      </c>
      <c r="L40" s="2800" t="s">
        <v>2562</v>
      </c>
      <c r="N40" s="3153">
        <v>3</v>
      </c>
    </row>
    <row r="41" spans="1:14">
      <c r="A41" s="2788" t="s">
        <v>2533</v>
      </c>
      <c r="B41" s="2789" t="s">
        <v>2534</v>
      </c>
      <c r="C41" s="2790" t="s">
        <v>2535</v>
      </c>
      <c r="D41" s="2790" t="s">
        <v>2536</v>
      </c>
      <c r="E41" s="2791"/>
      <c r="F41" s="2792"/>
      <c r="G41" s="2793"/>
      <c r="I41" s="2800">
        <v>40</v>
      </c>
      <c r="J41" s="2800">
        <v>100</v>
      </c>
      <c r="K41" s="2800">
        <f t="shared" si="3"/>
        <v>2.7999999999999972</v>
      </c>
    </row>
    <row r="42" spans="1:14">
      <c r="A42" s="2788" t="s">
        <v>2537</v>
      </c>
      <c r="B42" s="2789" t="s">
        <v>2538</v>
      </c>
      <c r="C42" s="2790" t="s">
        <v>2539</v>
      </c>
      <c r="D42" s="2794" t="s">
        <v>2540</v>
      </c>
      <c r="E42" s="2786" t="s">
        <v>2541</v>
      </c>
      <c r="F42" s="2786"/>
      <c r="G42" s="2787"/>
    </row>
    <row r="43" spans="1:14">
      <c r="A43" s="2788" t="s">
        <v>2542</v>
      </c>
      <c r="B43" s="2789" t="s">
        <v>2543</v>
      </c>
      <c r="C43" s="2790" t="s">
        <v>2544</v>
      </c>
      <c r="D43" s="2790" t="s">
        <v>2545</v>
      </c>
      <c r="E43" s="2791" t="s">
        <v>2546</v>
      </c>
      <c r="F43" s="2792"/>
      <c r="G43" s="2793"/>
      <c r="I43" s="2800" t="s">
        <v>2554</v>
      </c>
      <c r="J43" s="2800" t="s">
        <v>2565</v>
      </c>
    </row>
    <row r="44" spans="1:14">
      <c r="A44" s="2788" t="s">
        <v>2547</v>
      </c>
      <c r="B44" s="2789" t="s">
        <v>2548</v>
      </c>
      <c r="C44" s="2790" t="s">
        <v>2549</v>
      </c>
      <c r="D44" s="2794">
        <v>0.5</v>
      </c>
      <c r="E44" s="2791" t="s">
        <v>2550</v>
      </c>
      <c r="F44" s="2792"/>
      <c r="G44" s="2793"/>
      <c r="I44" s="2800">
        <v>30</v>
      </c>
      <c r="J44" s="2800">
        <v>81.7</v>
      </c>
    </row>
    <row r="45" spans="1:14" ht="14.25" thickBot="1">
      <c r="A45" s="2795" t="s">
        <v>2551</v>
      </c>
      <c r="B45" s="2796" t="s">
        <v>2538</v>
      </c>
      <c r="C45" s="2797" t="s">
        <v>2538</v>
      </c>
      <c r="D45" s="2797" t="s">
        <v>2552</v>
      </c>
      <c r="E45" s="2798" t="s">
        <v>2553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L19" sqref="L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53" t="str">
        <f>IF(B10="北京市","北京市",C10)&amp;F10&amp;IF(结果表!G1="在建","出让国有建设用地使用权及在建建筑物",IF(结果表!G1="土地","出让国有建设用地使用权",))&amp;B9&amp;"预评估"</f>
        <v>北京市房地产抵押价值预评估</v>
      </c>
      <c r="C1" s="3254"/>
      <c r="D1" s="3254"/>
      <c r="E1" s="3254"/>
      <c r="F1" s="3254"/>
      <c r="G1" s="3254"/>
      <c r="H1" s="3254"/>
      <c r="I1" s="325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45962</v>
      </c>
      <c r="C3" s="2186" t="s">
        <v>2170</v>
      </c>
      <c r="D3" s="2185">
        <v>45962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3406</v>
      </c>
      <c r="C8" s="2201"/>
      <c r="D8" s="3256" t="s">
        <v>2176</v>
      </c>
      <c r="E8" s="2202" t="s">
        <v>3407</v>
      </c>
      <c r="F8" s="2203"/>
      <c r="G8" s="2442"/>
      <c r="H8" s="2442"/>
      <c r="I8" s="2442"/>
      <c r="J8" s="2245"/>
      <c r="K8" s="2400"/>
      <c r="L8" s="2399"/>
      <c r="M8" s="2399"/>
      <c r="N8" s="2245"/>
      <c r="O8" s="1670"/>
      <c r="P8" s="2245"/>
      <c r="Q8" s="2245"/>
      <c r="R8" s="2245"/>
    </row>
    <row r="9" spans="1:30" ht="13.5" thickBot="1">
      <c r="A9" s="2204" t="s">
        <v>2177</v>
      </c>
      <c r="B9" s="2205" t="s">
        <v>3407</v>
      </c>
      <c r="C9" s="2206"/>
      <c r="D9" s="3257"/>
      <c r="E9" s="2205" t="s">
        <v>43</v>
      </c>
      <c r="F9" s="2207"/>
      <c r="G9" s="2443"/>
      <c r="H9" s="2443"/>
      <c r="I9" s="2443"/>
      <c r="J9" s="2245"/>
      <c r="K9" s="2402"/>
      <c r="L9" s="2399"/>
      <c r="M9" s="2399"/>
      <c r="N9" s="2245"/>
      <c r="O9" s="1670"/>
      <c r="P9" s="2245"/>
      <c r="Q9" s="2245"/>
      <c r="R9" s="2245"/>
    </row>
    <row r="10" spans="1:30" ht="13.5" thickTop="1">
      <c r="A10" s="2208" t="s">
        <v>2178</v>
      </c>
      <c r="B10" s="2209" t="s">
        <v>3408</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3409</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2566</v>
      </c>
      <c r="J12" s="2803"/>
      <c r="K12" s="2399"/>
      <c r="L12" s="2399"/>
      <c r="M12" s="2245"/>
      <c r="N12" s="1670"/>
      <c r="O12" s="2245"/>
      <c r="P12" s="2245"/>
      <c r="Q12" s="2245"/>
      <c r="AD12" s="1618"/>
    </row>
    <row r="13" spans="1:30">
      <c r="A13" s="3122" t="s">
        <v>3320</v>
      </c>
      <c r="B13" s="2218" t="s">
        <v>2189</v>
      </c>
      <c r="C13" s="803">
        <v>68653</v>
      </c>
      <c r="D13" s="803"/>
      <c r="E13" s="803"/>
      <c r="F13" s="803">
        <v>61348</v>
      </c>
      <c r="G13" s="803">
        <v>61348</v>
      </c>
      <c r="H13" s="803"/>
      <c r="I13" s="803"/>
      <c r="J13" s="2803"/>
      <c r="K13" s="2399"/>
      <c r="L13" s="2399"/>
      <c r="M13" s="2245"/>
      <c r="N13" s="1670"/>
      <c r="O13" s="2245"/>
      <c r="P13" s="2245"/>
      <c r="Q13" s="2245"/>
      <c r="AD13" s="1618"/>
    </row>
    <row r="14" spans="1:30">
      <c r="A14" s="1018"/>
      <c r="B14" s="2218" t="s">
        <v>2190</v>
      </c>
      <c r="C14" s="2219">
        <v>70</v>
      </c>
      <c r="D14" s="2219"/>
      <c r="E14" s="2219"/>
      <c r="F14" s="2219">
        <v>50</v>
      </c>
      <c r="G14" s="2219">
        <v>50</v>
      </c>
      <c r="H14" s="2219"/>
      <c r="I14" s="2219"/>
      <c r="J14" s="2804"/>
      <c r="K14" s="2399"/>
      <c r="L14" s="2399"/>
      <c r="M14" s="2245"/>
      <c r="N14" s="1670"/>
      <c r="O14" s="2245"/>
      <c r="P14" s="2245"/>
      <c r="Q14" s="2245"/>
      <c r="AD14" s="1618"/>
    </row>
    <row r="15" spans="1:30">
      <c r="A15" s="312"/>
      <c r="B15" s="2220" t="s">
        <v>2191</v>
      </c>
      <c r="C15" s="2221">
        <f>IF(A13="出让",IF(C13="","",ROUNDDOWN(MIN((C13-$D$3)/365,C14),2)),C14)</f>
        <v>62.16</v>
      </c>
      <c r="D15" s="2221" t="str">
        <f>IF(A13="出让",IF(D13="","",ROUNDDOWN(MIN((D13-$D$3)/365,D14),2)),D14)</f>
        <v/>
      </c>
      <c r="E15" s="2221" t="str">
        <f>IF(A13="出让",IF(E13="","",ROUNDDOWN(MIN((E13-$D$3)/365,E14),2)),E14)</f>
        <v/>
      </c>
      <c r="F15" s="2221">
        <f>IF(A13="出让",IF(F13="","",ROUNDDOWN(MIN((F13-$D$3)/365,F14),2)),F14)</f>
        <v>42.15</v>
      </c>
      <c r="G15" s="2221">
        <f>IF(A13="出让",IF(G13="","",ROUNDDOWN(MIN((G13-$D$3)/365,G14),2)),G14)</f>
        <v>42.15</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63"/>
      <c r="C16" s="3264"/>
      <c r="D16" s="3265"/>
      <c r="E16" s="2222" t="s">
        <v>2193</v>
      </c>
      <c r="F16" s="3266"/>
      <c r="G16" s="3267"/>
      <c r="H16" s="3267"/>
      <c r="I16" s="3268"/>
      <c r="J16" s="2245"/>
      <c r="K16" s="2403"/>
      <c r="L16" s="1670"/>
      <c r="M16" s="1670"/>
      <c r="N16" s="2245"/>
      <c r="O16" s="1670"/>
      <c r="P16" s="2245"/>
      <c r="Q16" s="2245"/>
      <c r="R16" s="2245"/>
    </row>
    <row r="17" spans="1:28">
      <c r="A17" s="305" t="s">
        <v>2194</v>
      </c>
      <c r="B17" s="294" t="s">
        <v>2195</v>
      </c>
      <c r="C17" s="8">
        <f>'数据-汇总表'!E3</f>
        <v>195888.83</v>
      </c>
      <c r="D17" s="1256" t="s">
        <v>2196</v>
      </c>
      <c r="E17" s="3269" t="s">
        <v>2197</v>
      </c>
      <c r="F17" s="3270"/>
      <c r="G17" s="3270"/>
      <c r="H17" s="3270"/>
      <c r="I17" s="3271"/>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61673.46</v>
      </c>
      <c r="D18" s="1029" t="s">
        <v>2200</v>
      </c>
      <c r="E18" s="3272" t="s">
        <v>2201</v>
      </c>
      <c r="F18" s="3273"/>
      <c r="G18" s="3273"/>
      <c r="H18" s="3273"/>
      <c r="I18" s="3274"/>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59" t="s">
        <v>2205</v>
      </c>
      <c r="C20" s="3260"/>
      <c r="D20" s="3261" t="s">
        <v>2206</v>
      </c>
      <c r="E20" s="3262"/>
      <c r="F20" s="2430" t="s">
        <v>1056</v>
      </c>
      <c r="G20" s="2442"/>
      <c r="H20" s="2442"/>
      <c r="I20" s="2442"/>
      <c r="J20" s="2245"/>
      <c r="K20" s="325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7"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7"/>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7"/>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8"/>
      <c r="B30" s="294" t="s">
        <v>2217</v>
      </c>
      <c r="C30" s="3249"/>
      <c r="D30" s="3250"/>
      <c r="E30" s="2442"/>
      <c r="F30" s="2442"/>
      <c r="G30" s="2442"/>
      <c r="H30" s="2442"/>
      <c r="I30" s="2442"/>
      <c r="J30" s="2245"/>
      <c r="K30" s="2402"/>
      <c r="L30" s="2399"/>
      <c r="M30" s="2399"/>
      <c r="N30" s="2245"/>
      <c r="O30" s="1670"/>
      <c r="P30" s="2245"/>
      <c r="Q30" s="2245"/>
      <c r="R30" s="2245"/>
      <c r="S30" s="2245"/>
      <c r="T30" s="2245"/>
      <c r="U30" s="2245"/>
      <c r="V30" s="2245"/>
    </row>
    <row r="31" spans="1:28">
      <c r="A31" s="3251"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46" t="s">
        <v>2227</v>
      </c>
      <c r="T34" s="315" t="str">
        <f>NUMBERSTRING(7-K34,1)&amp;"通"</f>
        <v>七通</v>
      </c>
      <c r="U34" s="2245"/>
      <c r="V34" s="2245"/>
    </row>
    <row r="35" spans="1:30">
      <c r="A35" s="2236"/>
      <c r="B35" s="3246" t="s">
        <v>2228</v>
      </c>
      <c r="C35" s="3246"/>
      <c r="D35" s="3246"/>
      <c r="E35" s="32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2569</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t="s">
        <v>305</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t="s">
        <v>2933</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抵押物清单!T7</f>
        <v>61673.46</v>
      </c>
      <c r="B3" s="11">
        <f>IF(C3="否",G5-AT5,G5)</f>
        <v>195888.83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195888.83</v>
      </c>
      <c r="H5" s="13">
        <f t="shared" ref="H5:AT5" si="0">SUM(H13:H656)</f>
        <v>195888.83</v>
      </c>
      <c r="I5" s="13">
        <f t="shared" si="0"/>
        <v>140502.72</v>
      </c>
      <c r="J5" s="13">
        <f t="shared" si="0"/>
        <v>0</v>
      </c>
      <c r="K5" s="13">
        <f t="shared" si="0"/>
        <v>15739.37</v>
      </c>
      <c r="L5" s="13">
        <f t="shared" si="0"/>
        <v>0</v>
      </c>
      <c r="M5" s="13">
        <f t="shared" si="0"/>
        <v>39646.74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195888.83</v>
      </c>
      <c r="BA5" s="15">
        <f t="shared" si="1"/>
        <v>195888.83</v>
      </c>
      <c r="BB5" s="15">
        <f t="shared" si="1"/>
        <v>140502.72</v>
      </c>
      <c r="BC5" s="15">
        <f t="shared" si="1"/>
        <v>15739.37</v>
      </c>
      <c r="BD5" s="15">
        <f t="shared" si="1"/>
        <v>39646.74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61673.460000000006</v>
      </c>
      <c r="F6" s="13" t="s">
        <v>0</v>
      </c>
      <c r="G6" s="13" t="s">
        <v>1</v>
      </c>
      <c r="H6" s="17">
        <f>SUMIF(I$12:AB$12,"总值",I6:AB6)</f>
        <v>61673.460000000006</v>
      </c>
      <c r="I6" s="13">
        <f t="shared" ref="I6:AB6" si="2">ROUND($A$3*I5/$B$3,2)</f>
        <v>44235.75</v>
      </c>
      <c r="J6" s="13">
        <f t="shared" si="2"/>
        <v>0</v>
      </c>
      <c r="K6" s="13">
        <f t="shared" si="2"/>
        <v>4955.37</v>
      </c>
      <c r="L6" s="13">
        <f t="shared" si="2"/>
        <v>0</v>
      </c>
      <c r="M6" s="13">
        <f t="shared" si="2"/>
        <v>12482.34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61673.46</v>
      </c>
      <c r="AZ6" s="13" t="s">
        <v>2</v>
      </c>
      <c r="BA6" s="13">
        <f>ROUND($AY$6*BA5/$AZ$5,2)</f>
        <v>61673.46</v>
      </c>
      <c r="BB6" s="13">
        <f>ROUND($AY$6*BB5/$AZ$5,2)</f>
        <v>44235.75</v>
      </c>
      <c r="BC6" s="13">
        <f t="shared" ref="BC6:BH6" si="4">ROUND($AY$6*BC5/$AZ$5,2)</f>
        <v>4955.37</v>
      </c>
      <c r="BD6" s="13">
        <f t="shared" si="4"/>
        <v>12482.34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4933</v>
      </c>
      <c r="J9" s="761"/>
      <c r="K9" s="1491" t="s">
        <v>4934</v>
      </c>
      <c r="L9" s="761"/>
      <c r="M9" s="1491" t="s">
        <v>4934</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3391</v>
      </c>
      <c r="J10" s="761"/>
      <c r="K10" s="1497" t="s">
        <v>3322</v>
      </c>
      <c r="L10" s="761"/>
      <c r="M10" s="1497" t="s">
        <v>3321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仓储</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83" t="s">
        <v>4929</v>
      </c>
      <c r="D13" s="1513" t="s">
        <v>4932</v>
      </c>
      <c r="E13" s="13">
        <f>IF($C$3="是",ROUND($A$3*G13/$B$3,2),ROUND($A$3*(G13-AT13)/$B$3,2))</f>
        <v>44235.75</v>
      </c>
      <c r="F13" s="29"/>
      <c r="G13" s="30">
        <f>H13+AC13+AT13</f>
        <v>140502.72</v>
      </c>
      <c r="H13" s="17">
        <f>SUMIF(I$12:AB$12,"总值",I13:AB13)</f>
        <v>140502.72</v>
      </c>
      <c r="I13" s="1514">
        <f>抵押物清单!S4</f>
        <v>140502.72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44235.75</v>
      </c>
      <c r="AZ13" s="13">
        <f>BA13+BL13</f>
        <v>140502.72</v>
      </c>
      <c r="BA13" s="13">
        <f>SUM(BB13:BK13)</f>
        <v>140502.72</v>
      </c>
      <c r="BB13" s="13">
        <f>IF($D13="是",I13-J13,0)</f>
        <v>140502.72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83" t="s">
        <v>4930</v>
      </c>
      <c r="D14" s="1513" t="s">
        <v>4932</v>
      </c>
      <c r="E14" s="13">
        <f>IF($C$3="是",ROUND($A$3*G14/$B$3,2),ROUND($A$3*(G14-AT14)/$B$3,2))</f>
        <v>4955.37</v>
      </c>
      <c r="F14" s="29"/>
      <c r="G14" s="30">
        <f>H14+AC14+AT14</f>
        <v>15739.37</v>
      </c>
      <c r="H14" s="17">
        <f>SUMIF(I$12:AB$12,"总值",I14:AB14)</f>
        <v>15739.37</v>
      </c>
      <c r="I14" s="1514"/>
      <c r="J14" s="1514"/>
      <c r="K14" s="1514">
        <f>抵押物清单!S5</f>
        <v>15739.37</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4955.37</v>
      </c>
      <c r="AZ14" s="13">
        <f>BA14+BL14</f>
        <v>15739.37</v>
      </c>
      <c r="BA14" s="13">
        <f>SUM(BB14:BK14)</f>
        <v>15739.37</v>
      </c>
      <c r="BB14" s="13">
        <f>IF($D14="是",I14-J14,0)</f>
        <v>0</v>
      </c>
      <c r="BC14" s="13">
        <f>IF($D14="是",K14-L14,0)</f>
        <v>15739.37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83" t="s">
        <v>4931</v>
      </c>
      <c r="D15" s="1513" t="s">
        <v>4932</v>
      </c>
      <c r="E15" s="13">
        <f>IF($C$3="是",ROUND($A$3*G15/$B$3,2),ROUND($A$3*(G15-AT15)/$B$3,2))</f>
        <v>12482.34</v>
      </c>
      <c r="F15" s="29"/>
      <c r="G15" s="30">
        <f>H15+AC15+AT15</f>
        <v>39646.74</v>
      </c>
      <c r="H15" s="17">
        <f>SUMIF(I$12:AB$12,"总值",I15:AB15)</f>
        <v>39646.74</v>
      </c>
      <c r="I15" s="1514"/>
      <c r="J15" s="1514"/>
      <c r="K15" s="1514"/>
      <c r="L15" s="1514"/>
      <c r="M15" s="1514">
        <f>抵押物清单!S6</f>
        <v>39646.74</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地下车库</v>
      </c>
      <c r="AY15" s="1260">
        <f>ROUND($AY$6*AZ15/$AZ$5,2)</f>
        <v>12482.34</v>
      </c>
      <c r="AZ15" s="13">
        <f>BA15+BL15</f>
        <v>39646.74</v>
      </c>
      <c r="BA15" s="13">
        <f>SUM(BB15:BK15)</f>
        <v>39646.74</v>
      </c>
      <c r="BB15" s="13">
        <f>IF($D15="是",I15-J15,0)</f>
        <v>0</v>
      </c>
      <c r="BC15" s="13">
        <f>IF($D15="是",K15-L15,0)</f>
        <v>0</v>
      </c>
      <c r="BD15" s="13">
        <f>IF($D15="是",M15-N15,0)</f>
        <v>39646.74</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BED85-ABC9-44BC-B4B1-0A11956FDBF8}">
  <dimension ref="A1:X1573"/>
  <sheetViews>
    <sheetView workbookViewId="0">
      <selection activeCell="J1544" sqref="J1544"/>
    </sheetView>
  </sheetViews>
  <sheetFormatPr defaultRowHeight="13.5"/>
  <cols>
    <col min="1" max="1" width="6" style="3170" bestFit="1" customWidth="1"/>
    <col min="2" max="2" width="15.625" style="3170" bestFit="1" customWidth="1"/>
    <col min="3" max="3" width="11.625" style="3170" bestFit="1" customWidth="1"/>
    <col min="4" max="4" width="10.5" style="3170" bestFit="1" customWidth="1"/>
    <col min="5" max="5" width="9" style="3170"/>
    <col min="6" max="6" width="6" style="3170" bestFit="1" customWidth="1"/>
    <col min="7" max="7" width="9" style="3170"/>
    <col min="8" max="8" width="10.25" style="3170" bestFit="1" customWidth="1"/>
    <col min="9" max="9" width="12" style="3170" bestFit="1" customWidth="1"/>
    <col min="10" max="10" width="11.5" style="3170" bestFit="1" customWidth="1"/>
    <col min="11" max="11" width="9" style="3170"/>
    <col min="12" max="12" width="6" style="3170" bestFit="1" customWidth="1"/>
    <col min="13" max="13" width="7.625" style="3170" bestFit="1" customWidth="1"/>
    <col min="14" max="14" width="11.375" style="3170" bestFit="1" customWidth="1"/>
    <col min="15" max="15" width="11.625" style="3170" bestFit="1" customWidth="1"/>
    <col min="16" max="16" width="11.5" style="3170" bestFit="1" customWidth="1"/>
    <col min="17" max="18" width="9" style="3170"/>
    <col min="19" max="19" width="11.625" style="3170" bestFit="1" customWidth="1"/>
    <col min="20" max="20" width="13" style="3170" bestFit="1" customWidth="1"/>
    <col min="21" max="21" width="11.625" style="3170" bestFit="1" customWidth="1"/>
    <col min="22" max="22" width="13" style="3170" bestFit="1" customWidth="1"/>
    <col min="23" max="16384" width="9" style="3170"/>
  </cols>
  <sheetData>
    <row r="1" spans="1:22" ht="15" thickBot="1">
      <c r="A1" s="3275" t="s">
        <v>3410</v>
      </c>
      <c r="B1" s="3276"/>
      <c r="C1" s="3276"/>
      <c r="D1" s="3277"/>
      <c r="F1" s="3275" t="s">
        <v>3411</v>
      </c>
      <c r="G1" s="3276"/>
      <c r="H1" s="3276"/>
      <c r="I1" s="3276"/>
      <c r="J1" s="3277"/>
      <c r="L1" s="3278" t="s">
        <v>3412</v>
      </c>
      <c r="M1" s="3279"/>
      <c r="N1" s="3279"/>
      <c r="O1" s="3279"/>
      <c r="P1" s="3280"/>
    </row>
    <row r="2" spans="1:22" ht="43.5" customHeight="1" thickBot="1">
      <c r="A2" s="3171" t="s">
        <v>3413</v>
      </c>
      <c r="B2" s="3172" t="s">
        <v>3414</v>
      </c>
      <c r="C2" s="3172" t="s">
        <v>3415</v>
      </c>
      <c r="D2" s="3172" t="s">
        <v>3416</v>
      </c>
      <c r="F2" s="3171" t="s">
        <v>3413</v>
      </c>
      <c r="G2" s="3172" t="s">
        <v>3417</v>
      </c>
      <c r="H2" s="3172" t="s">
        <v>3418</v>
      </c>
      <c r="I2" s="3173" t="s">
        <v>3415</v>
      </c>
      <c r="J2" s="3172" t="s">
        <v>3416</v>
      </c>
      <c r="L2" s="3171" t="s">
        <v>3413</v>
      </c>
      <c r="M2" s="3171" t="s">
        <v>3419</v>
      </c>
      <c r="N2" s="3171" t="s">
        <v>3420</v>
      </c>
      <c r="O2" s="3171" t="s">
        <v>3415</v>
      </c>
      <c r="P2" s="3171" t="s">
        <v>3416</v>
      </c>
    </row>
    <row r="3" spans="1:22" ht="15" thickBot="1">
      <c r="A3" s="3174">
        <v>1</v>
      </c>
      <c r="B3" s="3175" t="s">
        <v>3421</v>
      </c>
      <c r="C3" s="3175">
        <v>89.22</v>
      </c>
      <c r="D3" s="3176">
        <v>28.09</v>
      </c>
      <c r="F3" s="3177">
        <v>1</v>
      </c>
      <c r="G3" s="3175" t="s">
        <v>3422</v>
      </c>
      <c r="H3" s="3178">
        <v>-1001</v>
      </c>
      <c r="I3" s="3179">
        <v>11.39</v>
      </c>
      <c r="J3" s="3179">
        <v>3.59</v>
      </c>
      <c r="L3" s="3177">
        <v>1</v>
      </c>
      <c r="M3" s="3175">
        <v>-10001</v>
      </c>
      <c r="N3" s="3175" t="s">
        <v>3423</v>
      </c>
      <c r="O3" s="3176">
        <v>35.14</v>
      </c>
      <c r="P3" s="3176">
        <v>11.06</v>
      </c>
      <c r="R3" s="3184"/>
      <c r="S3" s="3184" t="s">
        <v>4938</v>
      </c>
      <c r="T3" s="3184" t="s">
        <v>4937</v>
      </c>
    </row>
    <row r="4" spans="1:22" ht="15" thickBot="1">
      <c r="A4" s="3174">
        <v>2</v>
      </c>
      <c r="B4" s="3175" t="s">
        <v>3424</v>
      </c>
      <c r="C4" s="3175">
        <v>88.94</v>
      </c>
      <c r="D4" s="3176">
        <v>28</v>
      </c>
      <c r="F4" s="3177">
        <v>2</v>
      </c>
      <c r="G4" s="3175" t="s">
        <v>3422</v>
      </c>
      <c r="H4" s="3178">
        <v>-1002</v>
      </c>
      <c r="I4" s="3179">
        <v>11.92</v>
      </c>
      <c r="J4" s="3179">
        <v>3.75</v>
      </c>
      <c r="L4" s="3177">
        <v>2</v>
      </c>
      <c r="M4" s="3175">
        <v>-10002</v>
      </c>
      <c r="N4" s="3175" t="s">
        <v>3423</v>
      </c>
      <c r="O4" s="3176">
        <v>23.43</v>
      </c>
      <c r="P4" s="3176">
        <v>7.38</v>
      </c>
      <c r="R4" s="3184" t="s">
        <v>2542</v>
      </c>
      <c r="S4" s="3184">
        <f>C1483</f>
        <v>140502.72</v>
      </c>
      <c r="T4" s="3184">
        <f>D1483</f>
        <v>44236.67</v>
      </c>
    </row>
    <row r="5" spans="1:22" ht="15" thickBot="1">
      <c r="A5" s="3174">
        <v>3</v>
      </c>
      <c r="B5" s="3175" t="s">
        <v>3425</v>
      </c>
      <c r="C5" s="3175">
        <v>88.94</v>
      </c>
      <c r="D5" s="3176">
        <v>28</v>
      </c>
      <c r="F5" s="3177">
        <v>3</v>
      </c>
      <c r="G5" s="3175" t="s">
        <v>3422</v>
      </c>
      <c r="H5" s="3178">
        <v>-1003</v>
      </c>
      <c r="I5" s="3179">
        <v>14.29</v>
      </c>
      <c r="J5" s="3179">
        <v>4.5</v>
      </c>
      <c r="L5" s="3177">
        <v>3</v>
      </c>
      <c r="M5" s="3175">
        <v>-10003</v>
      </c>
      <c r="N5" s="3175" t="s">
        <v>3423</v>
      </c>
      <c r="O5" s="3176">
        <v>23.43</v>
      </c>
      <c r="P5" s="3176">
        <v>7.38</v>
      </c>
      <c r="R5" s="3184" t="s">
        <v>4935</v>
      </c>
      <c r="S5" s="3184">
        <f>I1544</f>
        <v>15739.37</v>
      </c>
      <c r="T5" s="3184">
        <f>J1544</f>
        <v>4955.53</v>
      </c>
    </row>
    <row r="6" spans="1:22" ht="15" thickBot="1">
      <c r="A6" s="3174">
        <v>4</v>
      </c>
      <c r="B6" s="3175" t="s">
        <v>3426</v>
      </c>
      <c r="C6" s="3175">
        <v>112.4</v>
      </c>
      <c r="D6" s="3176">
        <v>35.39</v>
      </c>
      <c r="F6" s="3177">
        <v>4</v>
      </c>
      <c r="G6" s="3175" t="s">
        <v>3422</v>
      </c>
      <c r="H6" s="3178">
        <v>-1004</v>
      </c>
      <c r="I6" s="3179">
        <v>19.37</v>
      </c>
      <c r="J6" s="3179">
        <v>6.1</v>
      </c>
      <c r="L6" s="3177">
        <v>4</v>
      </c>
      <c r="M6" s="3175">
        <v>-10004</v>
      </c>
      <c r="N6" s="3175" t="s">
        <v>3423</v>
      </c>
      <c r="O6" s="3176">
        <v>23.43</v>
      </c>
      <c r="P6" s="3176">
        <v>7.38</v>
      </c>
      <c r="R6" s="3184" t="s">
        <v>4936</v>
      </c>
      <c r="S6" s="3184">
        <f>O1570</f>
        <v>39646.74</v>
      </c>
      <c r="T6" s="3184">
        <f>P1570</f>
        <v>12481.26</v>
      </c>
    </row>
    <row r="7" spans="1:22" ht="15" thickBot="1">
      <c r="A7" s="3174">
        <v>5</v>
      </c>
      <c r="B7" s="3175" t="s">
        <v>3427</v>
      </c>
      <c r="C7" s="3175">
        <v>89.22</v>
      </c>
      <c r="D7" s="3176">
        <v>28.09</v>
      </c>
      <c r="F7" s="3177">
        <v>5</v>
      </c>
      <c r="G7" s="3175" t="s">
        <v>3422</v>
      </c>
      <c r="H7" s="3178">
        <v>-1005</v>
      </c>
      <c r="I7" s="3179">
        <v>9.14</v>
      </c>
      <c r="J7" s="3179">
        <v>2.88</v>
      </c>
      <c r="L7" s="3177">
        <v>5</v>
      </c>
      <c r="M7" s="3175">
        <v>-10005</v>
      </c>
      <c r="N7" s="3175" t="s">
        <v>3423</v>
      </c>
      <c r="O7" s="3176">
        <v>23.43</v>
      </c>
      <c r="P7" s="3176">
        <v>7.38</v>
      </c>
      <c r="R7" s="3184" t="s">
        <v>4939</v>
      </c>
      <c r="S7" s="3184">
        <f>SUM(S4:S6)</f>
        <v>195888.83</v>
      </c>
      <c r="T7" s="3184">
        <f>SUM(T4:T6)</f>
        <v>61673.46</v>
      </c>
    </row>
    <row r="8" spans="1:22" ht="15" thickBot="1">
      <c r="A8" s="3174">
        <v>6</v>
      </c>
      <c r="B8" s="3175" t="s">
        <v>3428</v>
      </c>
      <c r="C8" s="3176">
        <v>88.94</v>
      </c>
      <c r="D8" s="3176">
        <v>28</v>
      </c>
      <c r="F8" s="3177">
        <v>6</v>
      </c>
      <c r="G8" s="3175" t="s">
        <v>3422</v>
      </c>
      <c r="H8" s="3178">
        <v>-1006</v>
      </c>
      <c r="I8" s="3179">
        <v>8.9</v>
      </c>
      <c r="J8" s="3179">
        <v>2.8</v>
      </c>
      <c r="L8" s="3177">
        <v>6</v>
      </c>
      <c r="M8" s="3175">
        <v>-10006</v>
      </c>
      <c r="N8" s="3175" t="s">
        <v>3423</v>
      </c>
      <c r="O8" s="3176">
        <v>23.43</v>
      </c>
      <c r="P8" s="3176">
        <v>7.38</v>
      </c>
    </row>
    <row r="9" spans="1:22" ht="15" thickBot="1">
      <c r="A9" s="3174">
        <v>7</v>
      </c>
      <c r="B9" s="3175" t="s">
        <v>3429</v>
      </c>
      <c r="C9" s="3176">
        <v>88.94</v>
      </c>
      <c r="D9" s="3176">
        <v>28</v>
      </c>
      <c r="F9" s="3177">
        <v>7</v>
      </c>
      <c r="G9" s="3175" t="s">
        <v>3422</v>
      </c>
      <c r="H9" s="3178">
        <v>-1007</v>
      </c>
      <c r="I9" s="3179">
        <v>11.92</v>
      </c>
      <c r="J9" s="3179">
        <v>3.75</v>
      </c>
      <c r="L9" s="3177">
        <v>7</v>
      </c>
      <c r="M9" s="3175">
        <v>-10007</v>
      </c>
      <c r="N9" s="3175" t="s">
        <v>3423</v>
      </c>
      <c r="O9" s="3176">
        <v>23.43</v>
      </c>
      <c r="P9" s="3176">
        <v>7.38</v>
      </c>
    </row>
    <row r="10" spans="1:22" ht="15" thickBot="1">
      <c r="A10" s="3174">
        <v>8</v>
      </c>
      <c r="B10" s="3175" t="s">
        <v>3430</v>
      </c>
      <c r="C10" s="3176">
        <v>112.4</v>
      </c>
      <c r="D10" s="3176">
        <v>35.39</v>
      </c>
      <c r="F10" s="3177">
        <v>8</v>
      </c>
      <c r="G10" s="3175" t="s">
        <v>3422</v>
      </c>
      <c r="H10" s="3178">
        <v>-1008</v>
      </c>
      <c r="I10" s="3179">
        <v>13.98</v>
      </c>
      <c r="J10" s="3179">
        <v>4.4000000000000004</v>
      </c>
      <c r="L10" s="3177">
        <v>8</v>
      </c>
      <c r="M10" s="3175">
        <v>-10008</v>
      </c>
      <c r="N10" s="3175" t="s">
        <v>3423</v>
      </c>
      <c r="O10" s="3176">
        <v>23.43</v>
      </c>
      <c r="P10" s="3176">
        <v>7.38</v>
      </c>
    </row>
    <row r="11" spans="1:22" ht="15" thickBot="1">
      <c r="A11" s="3174">
        <v>9</v>
      </c>
      <c r="B11" s="3175" t="s">
        <v>3431</v>
      </c>
      <c r="C11" s="3176">
        <v>89.22</v>
      </c>
      <c r="D11" s="3176">
        <v>28.09</v>
      </c>
      <c r="F11" s="3177">
        <v>9</v>
      </c>
      <c r="G11" s="3175" t="s">
        <v>3422</v>
      </c>
      <c r="H11" s="3178">
        <v>-1009</v>
      </c>
      <c r="I11" s="3179">
        <v>14.4</v>
      </c>
      <c r="J11" s="3179">
        <v>4.53</v>
      </c>
      <c r="L11" s="3177">
        <v>9</v>
      </c>
      <c r="M11" s="3175">
        <v>-10009</v>
      </c>
      <c r="N11" s="3175" t="s">
        <v>3423</v>
      </c>
      <c r="O11" s="3176">
        <v>23.43</v>
      </c>
      <c r="P11" s="3176">
        <v>7.38</v>
      </c>
      <c r="R11" s="3286" t="s">
        <v>4926</v>
      </c>
      <c r="S11" s="3287"/>
      <c r="T11" s="3282"/>
      <c r="U11" s="3182">
        <v>195888.83</v>
      </c>
      <c r="V11" s="3182">
        <v>61673.46</v>
      </c>
    </row>
    <row r="12" spans="1:22" ht="15" thickBot="1">
      <c r="A12" s="3174">
        <v>10</v>
      </c>
      <c r="B12" s="3175" t="s">
        <v>3432</v>
      </c>
      <c r="C12" s="3176">
        <v>88.94</v>
      </c>
      <c r="D12" s="3176">
        <v>28</v>
      </c>
      <c r="F12" s="3177">
        <v>10</v>
      </c>
      <c r="G12" s="3175" t="s">
        <v>3422</v>
      </c>
      <c r="H12" s="3178">
        <v>-1010</v>
      </c>
      <c r="I12" s="3179">
        <v>13.58</v>
      </c>
      <c r="J12" s="3179">
        <v>4.28</v>
      </c>
      <c r="L12" s="3177">
        <v>10</v>
      </c>
      <c r="M12" s="3175">
        <v>-10010</v>
      </c>
      <c r="N12" s="3175" t="s">
        <v>3423</v>
      </c>
      <c r="O12" s="3176">
        <v>23.43</v>
      </c>
      <c r="P12" s="3176">
        <v>7.38</v>
      </c>
      <c r="R12" s="3288" t="s">
        <v>4927</v>
      </c>
      <c r="S12" s="3289"/>
      <c r="T12" s="3289"/>
      <c r="U12" s="3289"/>
      <c r="V12" s="3290"/>
    </row>
    <row r="13" spans="1:22" ht="15" thickBot="1">
      <c r="A13" s="3174">
        <v>11</v>
      </c>
      <c r="B13" s="3175" t="s">
        <v>3433</v>
      </c>
      <c r="C13" s="3176">
        <v>88.94</v>
      </c>
      <c r="D13" s="3176">
        <v>28</v>
      </c>
      <c r="F13" s="3177">
        <v>11</v>
      </c>
      <c r="G13" s="3175" t="s">
        <v>3422</v>
      </c>
      <c r="H13" s="3178">
        <v>-1011</v>
      </c>
      <c r="I13" s="3179">
        <v>13.58</v>
      </c>
      <c r="J13" s="3179">
        <v>4.28</v>
      </c>
      <c r="L13" s="3177">
        <v>11</v>
      </c>
      <c r="M13" s="3175">
        <v>-10011</v>
      </c>
      <c r="N13" s="3175" t="s">
        <v>3423</v>
      </c>
      <c r="O13" s="3176">
        <v>23.43</v>
      </c>
      <c r="P13" s="3176">
        <v>7.38</v>
      </c>
      <c r="R13" s="3291" t="s">
        <v>4928</v>
      </c>
      <c r="S13" s="3292"/>
      <c r="T13" s="3292"/>
      <c r="U13" s="3292"/>
      <c r="V13" s="3293"/>
    </row>
    <row r="14" spans="1:22" ht="15" thickBot="1">
      <c r="A14" s="3174">
        <v>12</v>
      </c>
      <c r="B14" s="3175" t="s">
        <v>3434</v>
      </c>
      <c r="C14" s="3176">
        <v>112.4</v>
      </c>
      <c r="D14" s="3176">
        <v>35.39</v>
      </c>
      <c r="F14" s="3177">
        <v>12</v>
      </c>
      <c r="G14" s="3175" t="s">
        <v>3422</v>
      </c>
      <c r="H14" s="3178">
        <v>-1012</v>
      </c>
      <c r="I14" s="3179">
        <v>12.23</v>
      </c>
      <c r="J14" s="3179">
        <v>3.85</v>
      </c>
      <c r="L14" s="3177">
        <v>12</v>
      </c>
      <c r="M14" s="3175">
        <v>-10012</v>
      </c>
      <c r="N14" s="3175" t="s">
        <v>3423</v>
      </c>
      <c r="O14" s="3176">
        <v>23.43</v>
      </c>
      <c r="P14" s="3176">
        <v>7.38</v>
      </c>
    </row>
    <row r="15" spans="1:22" ht="15" thickBot="1">
      <c r="A15" s="3174">
        <v>13</v>
      </c>
      <c r="B15" s="3175" t="s">
        <v>3435</v>
      </c>
      <c r="C15" s="3176">
        <v>112.4</v>
      </c>
      <c r="D15" s="3176">
        <v>35.39</v>
      </c>
      <c r="F15" s="3177">
        <v>13</v>
      </c>
      <c r="G15" s="3175" t="s">
        <v>3422</v>
      </c>
      <c r="H15" s="3178">
        <v>-1013</v>
      </c>
      <c r="I15" s="3179">
        <v>12.23</v>
      </c>
      <c r="J15" s="3179">
        <v>3.85</v>
      </c>
      <c r="L15" s="3177">
        <v>13</v>
      </c>
      <c r="M15" s="3175">
        <v>-10013</v>
      </c>
      <c r="N15" s="3175" t="s">
        <v>3423</v>
      </c>
      <c r="O15" s="3176">
        <v>23.43</v>
      </c>
      <c r="P15" s="3176">
        <v>7.38</v>
      </c>
    </row>
    <row r="16" spans="1:22" ht="15" thickBot="1">
      <c r="A16" s="3174">
        <v>14</v>
      </c>
      <c r="B16" s="3175" t="s">
        <v>3436</v>
      </c>
      <c r="C16" s="3176">
        <v>88.94</v>
      </c>
      <c r="D16" s="3176">
        <v>28</v>
      </c>
      <c r="F16" s="3177">
        <v>14</v>
      </c>
      <c r="G16" s="3175" t="s">
        <v>3422</v>
      </c>
      <c r="H16" s="3178">
        <v>-1014</v>
      </c>
      <c r="I16" s="3179">
        <v>13.58</v>
      </c>
      <c r="J16" s="3179">
        <v>4.28</v>
      </c>
      <c r="L16" s="3177">
        <v>14</v>
      </c>
      <c r="M16" s="3175">
        <v>-10014</v>
      </c>
      <c r="N16" s="3175" t="s">
        <v>3423</v>
      </c>
      <c r="O16" s="3176">
        <v>23.43</v>
      </c>
      <c r="P16" s="3176">
        <v>7.38</v>
      </c>
    </row>
    <row r="17" spans="1:24" ht="15" thickBot="1">
      <c r="A17" s="3174">
        <v>15</v>
      </c>
      <c r="B17" s="3175" t="s">
        <v>3437</v>
      </c>
      <c r="C17" s="3176">
        <v>88.94</v>
      </c>
      <c r="D17" s="3176">
        <v>28</v>
      </c>
      <c r="F17" s="3177">
        <v>15</v>
      </c>
      <c r="G17" s="3175" t="s">
        <v>3422</v>
      </c>
      <c r="H17" s="3178">
        <v>-1015</v>
      </c>
      <c r="I17" s="3179">
        <v>13.58</v>
      </c>
      <c r="J17" s="3179">
        <v>4.28</v>
      </c>
      <c r="L17" s="3177">
        <v>15</v>
      </c>
      <c r="M17" s="3175">
        <v>-10015</v>
      </c>
      <c r="N17" s="3175" t="s">
        <v>3423</v>
      </c>
      <c r="O17" s="3176">
        <v>23.43</v>
      </c>
      <c r="P17" s="3176">
        <v>7.38</v>
      </c>
      <c r="U17" s="3170" t="s">
        <v>3376</v>
      </c>
      <c r="V17" s="3170" t="s">
        <v>4941</v>
      </c>
    </row>
    <row r="18" spans="1:24" ht="15" thickBot="1">
      <c r="A18" s="3174">
        <v>16</v>
      </c>
      <c r="B18" s="3175" t="s">
        <v>3438</v>
      </c>
      <c r="C18" s="3176">
        <v>89.22</v>
      </c>
      <c r="D18" s="3176">
        <v>28.09</v>
      </c>
      <c r="F18" s="3177">
        <v>16</v>
      </c>
      <c r="G18" s="3175" t="s">
        <v>3422</v>
      </c>
      <c r="H18" s="3178">
        <v>-1016</v>
      </c>
      <c r="I18" s="3179">
        <v>16.87</v>
      </c>
      <c r="J18" s="3179">
        <v>5.31</v>
      </c>
      <c r="L18" s="3177">
        <v>16</v>
      </c>
      <c r="M18" s="3175">
        <v>-10016</v>
      </c>
      <c r="N18" s="3175" t="s">
        <v>3423</v>
      </c>
      <c r="O18" s="3176">
        <v>23.43</v>
      </c>
      <c r="P18" s="3176">
        <v>7.38</v>
      </c>
      <c r="T18" s="3170" t="s">
        <v>4942</v>
      </c>
      <c r="U18" s="3170">
        <f>SUM(C3:C194)</f>
        <v>18209.599999999999</v>
      </c>
      <c r="V18" s="3170" t="s">
        <v>4944</v>
      </c>
      <c r="W18" s="3185">
        <v>0.4</v>
      </c>
      <c r="X18" s="3170">
        <f>W18*U18</f>
        <v>7283.84</v>
      </c>
    </row>
    <row r="19" spans="1:24" ht="15" thickBot="1">
      <c r="A19" s="3174">
        <v>17</v>
      </c>
      <c r="B19" s="3175" t="s">
        <v>3439</v>
      </c>
      <c r="C19" s="3176">
        <v>112.4</v>
      </c>
      <c r="D19" s="3176">
        <v>35.39</v>
      </c>
      <c r="F19" s="3177">
        <v>17</v>
      </c>
      <c r="G19" s="3175" t="s">
        <v>3422</v>
      </c>
      <c r="H19" s="3178">
        <v>-1017</v>
      </c>
      <c r="I19" s="3179">
        <v>15.06</v>
      </c>
      <c r="J19" s="3179">
        <v>4.74</v>
      </c>
      <c r="L19" s="3177">
        <v>17</v>
      </c>
      <c r="M19" s="3175">
        <v>-10017</v>
      </c>
      <c r="N19" s="3175" t="s">
        <v>3423</v>
      </c>
      <c r="O19" s="3176">
        <v>23.43</v>
      </c>
      <c r="P19" s="3176">
        <v>7.38</v>
      </c>
      <c r="T19" s="3170" t="s">
        <v>4943</v>
      </c>
      <c r="U19" s="3170">
        <f>SUM(C195:C1482)</f>
        <v>122293.12000000064</v>
      </c>
      <c r="V19" s="3170" t="s">
        <v>4945</v>
      </c>
      <c r="W19" s="3185">
        <v>0.6</v>
      </c>
      <c r="X19" s="3170">
        <f t="shared" ref="X19:X21" si="0">W19*U19</f>
        <v>73375.872000000381</v>
      </c>
    </row>
    <row r="20" spans="1:24" ht="15" thickBot="1">
      <c r="A20" s="3174">
        <v>18</v>
      </c>
      <c r="B20" s="3175" t="s">
        <v>3440</v>
      </c>
      <c r="C20" s="3176">
        <v>88.94</v>
      </c>
      <c r="D20" s="3176">
        <v>28</v>
      </c>
      <c r="F20" s="3177">
        <v>18</v>
      </c>
      <c r="G20" s="3175" t="s">
        <v>3422</v>
      </c>
      <c r="H20" s="3178">
        <v>-1018</v>
      </c>
      <c r="I20" s="3179">
        <v>15.52</v>
      </c>
      <c r="J20" s="3179">
        <v>4.8899999999999997</v>
      </c>
      <c r="L20" s="3177">
        <v>18</v>
      </c>
      <c r="M20" s="3175">
        <v>-10018</v>
      </c>
      <c r="N20" s="3175" t="s">
        <v>3423</v>
      </c>
      <c r="O20" s="3176">
        <v>23.43</v>
      </c>
      <c r="P20" s="3176">
        <v>7.38</v>
      </c>
      <c r="T20" s="3170" t="s">
        <v>4935</v>
      </c>
      <c r="U20" s="3170">
        <f>S5</f>
        <v>15739.37</v>
      </c>
      <c r="V20" s="3170" t="s">
        <v>4947</v>
      </c>
      <c r="W20" s="3185">
        <v>0.5</v>
      </c>
      <c r="X20" s="3170">
        <f t="shared" si="0"/>
        <v>7869.6850000000004</v>
      </c>
    </row>
    <row r="21" spans="1:24" ht="15" thickBot="1">
      <c r="A21" s="3174">
        <v>19</v>
      </c>
      <c r="B21" s="3175" t="s">
        <v>3441</v>
      </c>
      <c r="C21" s="3176">
        <v>88.94</v>
      </c>
      <c r="D21" s="3176">
        <v>28</v>
      </c>
      <c r="F21" s="3177">
        <v>19</v>
      </c>
      <c r="G21" s="3175" t="s">
        <v>3422</v>
      </c>
      <c r="H21" s="3178">
        <v>-1019</v>
      </c>
      <c r="I21" s="3179">
        <v>15.77</v>
      </c>
      <c r="J21" s="3179">
        <v>4.97</v>
      </c>
      <c r="L21" s="3177">
        <v>19</v>
      </c>
      <c r="M21" s="3175">
        <v>-10019</v>
      </c>
      <c r="N21" s="3175" t="s">
        <v>3423</v>
      </c>
      <c r="O21" s="3176">
        <v>23.43</v>
      </c>
      <c r="P21" s="3176">
        <v>7.38</v>
      </c>
      <c r="T21" s="3170" t="s">
        <v>4936</v>
      </c>
      <c r="U21" s="3170">
        <f>S6</f>
        <v>39646.74</v>
      </c>
      <c r="V21" s="3170" t="s">
        <v>4946</v>
      </c>
      <c r="W21" s="3185">
        <v>0.5</v>
      </c>
      <c r="X21" s="3170">
        <f t="shared" si="0"/>
        <v>19823.37</v>
      </c>
    </row>
    <row r="22" spans="1:24" ht="15" thickBot="1">
      <c r="A22" s="3174">
        <v>20</v>
      </c>
      <c r="B22" s="3175" t="s">
        <v>3442</v>
      </c>
      <c r="C22" s="3176">
        <v>89.22</v>
      </c>
      <c r="D22" s="3176">
        <v>28.09</v>
      </c>
      <c r="F22" s="3177">
        <v>20</v>
      </c>
      <c r="G22" s="3175" t="s">
        <v>3422</v>
      </c>
      <c r="H22" s="3178">
        <v>-1020</v>
      </c>
      <c r="I22" s="3179">
        <v>14.29</v>
      </c>
      <c r="J22" s="3179">
        <v>4.5</v>
      </c>
      <c r="L22" s="3177">
        <v>20</v>
      </c>
      <c r="M22" s="3175">
        <v>-10020</v>
      </c>
      <c r="N22" s="3175" t="s">
        <v>3423</v>
      </c>
      <c r="O22" s="3176">
        <v>23.43</v>
      </c>
      <c r="P22" s="3176">
        <v>7.38</v>
      </c>
      <c r="U22" s="3170">
        <f>SUM(U18:U21)</f>
        <v>195888.83000000063</v>
      </c>
      <c r="W22" s="3186">
        <f>ROUND(X22/U22,2)</f>
        <v>0.55000000000000004</v>
      </c>
      <c r="X22" s="3170">
        <f>SUM(X18:X21)</f>
        <v>108352.76700000037</v>
      </c>
    </row>
    <row r="23" spans="1:24" ht="15" thickBot="1">
      <c r="A23" s="3174">
        <v>21</v>
      </c>
      <c r="B23" s="3175" t="s">
        <v>3443</v>
      </c>
      <c r="C23" s="3176">
        <v>112.4</v>
      </c>
      <c r="D23" s="3176">
        <v>35.39</v>
      </c>
      <c r="F23" s="3177">
        <v>21</v>
      </c>
      <c r="G23" s="3175" t="s">
        <v>3422</v>
      </c>
      <c r="H23" s="3178">
        <v>-1021</v>
      </c>
      <c r="I23" s="3179">
        <v>19.37</v>
      </c>
      <c r="J23" s="3179">
        <v>6.1</v>
      </c>
      <c r="L23" s="3177">
        <v>21</v>
      </c>
      <c r="M23" s="3175">
        <v>-10021</v>
      </c>
      <c r="N23" s="3175" t="s">
        <v>3423</v>
      </c>
      <c r="O23" s="3176">
        <v>23.43</v>
      </c>
      <c r="P23" s="3176">
        <v>7.38</v>
      </c>
    </row>
    <row r="24" spans="1:24" ht="15" thickBot="1">
      <c r="A24" s="3174">
        <v>22</v>
      </c>
      <c r="B24" s="3175" t="s">
        <v>3444</v>
      </c>
      <c r="C24" s="3176">
        <v>88.94</v>
      </c>
      <c r="D24" s="3176">
        <v>28</v>
      </c>
      <c r="F24" s="3177">
        <v>22</v>
      </c>
      <c r="G24" s="3175" t="s">
        <v>3422</v>
      </c>
      <c r="H24" s="3178">
        <v>-1022</v>
      </c>
      <c r="I24" s="3179">
        <v>9.14</v>
      </c>
      <c r="J24" s="3179">
        <v>2.88</v>
      </c>
      <c r="L24" s="3177">
        <v>22</v>
      </c>
      <c r="M24" s="3175">
        <v>-10022</v>
      </c>
      <c r="N24" s="3175" t="s">
        <v>3423</v>
      </c>
      <c r="O24" s="3176">
        <v>23.43</v>
      </c>
      <c r="P24" s="3176">
        <v>7.38</v>
      </c>
    </row>
    <row r="25" spans="1:24" ht="15" thickBot="1">
      <c r="A25" s="3174">
        <v>23</v>
      </c>
      <c r="B25" s="3175" t="s">
        <v>3445</v>
      </c>
      <c r="C25" s="3176">
        <v>88.94</v>
      </c>
      <c r="D25" s="3176">
        <v>28</v>
      </c>
      <c r="F25" s="3177">
        <v>23</v>
      </c>
      <c r="G25" s="3175" t="s">
        <v>3422</v>
      </c>
      <c r="H25" s="3178">
        <v>-1023</v>
      </c>
      <c r="I25" s="3179">
        <v>8.9</v>
      </c>
      <c r="J25" s="3179">
        <v>2.8</v>
      </c>
      <c r="L25" s="3177">
        <v>23</v>
      </c>
      <c r="M25" s="3175">
        <v>-10023</v>
      </c>
      <c r="N25" s="3175" t="s">
        <v>3423</v>
      </c>
      <c r="O25" s="3176">
        <v>23.43</v>
      </c>
      <c r="P25" s="3176">
        <v>7.38</v>
      </c>
    </row>
    <row r="26" spans="1:24" ht="15" thickBot="1">
      <c r="A26" s="3174">
        <v>24</v>
      </c>
      <c r="B26" s="3175" t="s">
        <v>3446</v>
      </c>
      <c r="C26" s="3176">
        <v>89.22</v>
      </c>
      <c r="D26" s="3176">
        <v>28.09</v>
      </c>
      <c r="F26" s="3177">
        <v>24</v>
      </c>
      <c r="G26" s="3175" t="s">
        <v>3422</v>
      </c>
      <c r="H26" s="3178">
        <v>-1024</v>
      </c>
      <c r="I26" s="3179">
        <v>10.44</v>
      </c>
      <c r="J26" s="3179">
        <v>3.29</v>
      </c>
      <c r="L26" s="3177">
        <v>24</v>
      </c>
      <c r="M26" s="3175">
        <v>-10024</v>
      </c>
      <c r="N26" s="3175" t="s">
        <v>3423</v>
      </c>
      <c r="O26" s="3176">
        <v>23.43</v>
      </c>
      <c r="P26" s="3176">
        <v>7.38</v>
      </c>
    </row>
    <row r="27" spans="1:24" ht="15" thickBot="1">
      <c r="A27" s="3174">
        <v>25</v>
      </c>
      <c r="B27" s="3175" t="s">
        <v>3447</v>
      </c>
      <c r="C27" s="3176">
        <v>113.82</v>
      </c>
      <c r="D27" s="3176">
        <v>35.83</v>
      </c>
      <c r="F27" s="3177">
        <v>25</v>
      </c>
      <c r="G27" s="3175" t="s">
        <v>3422</v>
      </c>
      <c r="H27" s="3178">
        <v>-1025</v>
      </c>
      <c r="I27" s="3179">
        <v>10.14</v>
      </c>
      <c r="J27" s="3179">
        <v>3.19</v>
      </c>
      <c r="L27" s="3177">
        <v>25</v>
      </c>
      <c r="M27" s="3175">
        <v>-10025</v>
      </c>
      <c r="N27" s="3175" t="s">
        <v>3423</v>
      </c>
      <c r="O27" s="3176">
        <v>23.43</v>
      </c>
      <c r="P27" s="3176">
        <v>7.38</v>
      </c>
    </row>
    <row r="28" spans="1:24" ht="15" thickBot="1">
      <c r="A28" s="3174">
        <v>26</v>
      </c>
      <c r="B28" s="3175" t="s">
        <v>3448</v>
      </c>
      <c r="C28" s="3176">
        <v>59.35</v>
      </c>
      <c r="D28" s="3176">
        <v>18.690000000000001</v>
      </c>
      <c r="F28" s="3177">
        <v>26</v>
      </c>
      <c r="G28" s="3175" t="s">
        <v>3422</v>
      </c>
      <c r="H28" s="3178">
        <v>-1026</v>
      </c>
      <c r="I28" s="3179">
        <v>10.73</v>
      </c>
      <c r="J28" s="3179">
        <v>3.38</v>
      </c>
      <c r="L28" s="3177">
        <v>26</v>
      </c>
      <c r="M28" s="3175">
        <v>-10026</v>
      </c>
      <c r="N28" s="3175" t="s">
        <v>3423</v>
      </c>
      <c r="O28" s="3176">
        <v>23.43</v>
      </c>
      <c r="P28" s="3176">
        <v>7.38</v>
      </c>
    </row>
    <row r="29" spans="1:24" ht="15" thickBot="1">
      <c r="A29" s="3174">
        <v>27</v>
      </c>
      <c r="B29" s="3175" t="s">
        <v>3449</v>
      </c>
      <c r="C29" s="3176">
        <v>89.47</v>
      </c>
      <c r="D29" s="3176">
        <v>28.17</v>
      </c>
      <c r="F29" s="3177">
        <v>27</v>
      </c>
      <c r="G29" s="3175" t="s">
        <v>3422</v>
      </c>
      <c r="H29" s="3178">
        <v>-1027</v>
      </c>
      <c r="I29" s="3179">
        <v>13.96</v>
      </c>
      <c r="J29" s="3179">
        <v>4.4000000000000004</v>
      </c>
      <c r="L29" s="3177">
        <v>27</v>
      </c>
      <c r="M29" s="3175">
        <v>-10027</v>
      </c>
      <c r="N29" s="3175" t="s">
        <v>3423</v>
      </c>
      <c r="O29" s="3176">
        <v>23.43</v>
      </c>
      <c r="P29" s="3176">
        <v>7.38</v>
      </c>
    </row>
    <row r="30" spans="1:24" ht="15" thickBot="1">
      <c r="A30" s="3174">
        <v>28</v>
      </c>
      <c r="B30" s="3175" t="s">
        <v>3450</v>
      </c>
      <c r="C30" s="3176">
        <v>89.85</v>
      </c>
      <c r="D30" s="3176">
        <v>28.29</v>
      </c>
      <c r="F30" s="3177">
        <v>28</v>
      </c>
      <c r="G30" s="3175" t="s">
        <v>3422</v>
      </c>
      <c r="H30" s="3178">
        <v>-1028</v>
      </c>
      <c r="I30" s="3179">
        <v>8.59</v>
      </c>
      <c r="J30" s="3179">
        <v>2.7</v>
      </c>
      <c r="L30" s="3177">
        <v>28</v>
      </c>
      <c r="M30" s="3175">
        <v>-10028</v>
      </c>
      <c r="N30" s="3175" t="s">
        <v>3423</v>
      </c>
      <c r="O30" s="3176">
        <v>23.43</v>
      </c>
      <c r="P30" s="3176">
        <v>7.38</v>
      </c>
    </row>
    <row r="31" spans="1:24" ht="15" thickBot="1">
      <c r="A31" s="3174">
        <v>29</v>
      </c>
      <c r="B31" s="3175" t="s">
        <v>3451</v>
      </c>
      <c r="C31" s="3176">
        <v>113.82</v>
      </c>
      <c r="D31" s="3176">
        <v>35.83</v>
      </c>
      <c r="F31" s="3177">
        <v>29</v>
      </c>
      <c r="G31" s="3175" t="s">
        <v>3422</v>
      </c>
      <c r="H31" s="3178">
        <v>-1029</v>
      </c>
      <c r="I31" s="3179">
        <v>8.59</v>
      </c>
      <c r="J31" s="3179">
        <v>2.7</v>
      </c>
      <c r="L31" s="3177">
        <v>29</v>
      </c>
      <c r="M31" s="3175">
        <v>-10029</v>
      </c>
      <c r="N31" s="3175" t="s">
        <v>3423</v>
      </c>
      <c r="O31" s="3176">
        <v>23.43</v>
      </c>
      <c r="P31" s="3176">
        <v>7.38</v>
      </c>
    </row>
    <row r="32" spans="1:24" ht="15" thickBot="1">
      <c r="A32" s="3174">
        <v>30</v>
      </c>
      <c r="B32" s="3175" t="s">
        <v>3452</v>
      </c>
      <c r="C32" s="3176">
        <v>89.57</v>
      </c>
      <c r="D32" s="3176">
        <v>28.2</v>
      </c>
      <c r="F32" s="3177">
        <v>30</v>
      </c>
      <c r="G32" s="3175" t="s">
        <v>3422</v>
      </c>
      <c r="H32" s="3178">
        <v>-1030</v>
      </c>
      <c r="I32" s="3179">
        <v>8.59</v>
      </c>
      <c r="J32" s="3179">
        <v>2.7</v>
      </c>
      <c r="L32" s="3177">
        <v>30</v>
      </c>
      <c r="M32" s="3175">
        <v>-10030</v>
      </c>
      <c r="N32" s="3175" t="s">
        <v>3423</v>
      </c>
      <c r="O32" s="3176">
        <v>23.43</v>
      </c>
      <c r="P32" s="3176">
        <v>7.38</v>
      </c>
    </row>
    <row r="33" spans="1:16" ht="15" thickBot="1">
      <c r="A33" s="3174">
        <v>31</v>
      </c>
      <c r="B33" s="3175" t="s">
        <v>3453</v>
      </c>
      <c r="C33" s="3176">
        <v>89.57</v>
      </c>
      <c r="D33" s="3176">
        <v>28.2</v>
      </c>
      <c r="F33" s="3177">
        <v>31</v>
      </c>
      <c r="G33" s="3175" t="s">
        <v>3422</v>
      </c>
      <c r="H33" s="3178">
        <v>-1031</v>
      </c>
      <c r="I33" s="3179">
        <v>8.59</v>
      </c>
      <c r="J33" s="3179">
        <v>2.7</v>
      </c>
      <c r="L33" s="3177">
        <v>31</v>
      </c>
      <c r="M33" s="3175">
        <v>-10031</v>
      </c>
      <c r="N33" s="3175" t="s">
        <v>3423</v>
      </c>
      <c r="O33" s="3176">
        <v>23.43</v>
      </c>
      <c r="P33" s="3176">
        <v>7.38</v>
      </c>
    </row>
    <row r="34" spans="1:16" ht="15" thickBot="1">
      <c r="A34" s="3174">
        <v>32</v>
      </c>
      <c r="B34" s="3175" t="s">
        <v>3454</v>
      </c>
      <c r="C34" s="3176">
        <v>89.85</v>
      </c>
      <c r="D34" s="3176">
        <v>28.29</v>
      </c>
      <c r="F34" s="3177">
        <v>32</v>
      </c>
      <c r="G34" s="3175" t="s">
        <v>3422</v>
      </c>
      <c r="H34" s="3178">
        <v>-1032</v>
      </c>
      <c r="I34" s="3179">
        <v>12.34</v>
      </c>
      <c r="J34" s="3179">
        <v>3.89</v>
      </c>
      <c r="L34" s="3177">
        <v>32</v>
      </c>
      <c r="M34" s="3175">
        <v>-10032</v>
      </c>
      <c r="N34" s="3175" t="s">
        <v>3423</v>
      </c>
      <c r="O34" s="3176">
        <v>23.43</v>
      </c>
      <c r="P34" s="3176">
        <v>7.38</v>
      </c>
    </row>
    <row r="35" spans="1:16" ht="15" thickBot="1">
      <c r="A35" s="3174">
        <v>33</v>
      </c>
      <c r="B35" s="3175" t="s">
        <v>3455</v>
      </c>
      <c r="C35" s="3176">
        <v>113.82</v>
      </c>
      <c r="D35" s="3176">
        <v>35.83</v>
      </c>
      <c r="F35" s="3177">
        <v>33</v>
      </c>
      <c r="G35" s="3175" t="s">
        <v>3422</v>
      </c>
      <c r="H35" s="3178">
        <v>-1033</v>
      </c>
      <c r="I35" s="3179">
        <v>12.12</v>
      </c>
      <c r="J35" s="3179">
        <v>3.82</v>
      </c>
      <c r="L35" s="3177">
        <v>33</v>
      </c>
      <c r="M35" s="3175">
        <v>-10033</v>
      </c>
      <c r="N35" s="3175" t="s">
        <v>3423</v>
      </c>
      <c r="O35" s="3176">
        <v>23.43</v>
      </c>
      <c r="P35" s="3176">
        <v>7.38</v>
      </c>
    </row>
    <row r="36" spans="1:16" ht="15" thickBot="1">
      <c r="A36" s="3174">
        <v>34</v>
      </c>
      <c r="B36" s="3175" t="s">
        <v>3456</v>
      </c>
      <c r="C36" s="3176">
        <v>89.57</v>
      </c>
      <c r="D36" s="3176">
        <v>28.2</v>
      </c>
      <c r="F36" s="3177">
        <v>34</v>
      </c>
      <c r="G36" s="3175" t="s">
        <v>3422</v>
      </c>
      <c r="H36" s="3178">
        <v>-1034</v>
      </c>
      <c r="I36" s="3179">
        <v>14.75</v>
      </c>
      <c r="J36" s="3179">
        <v>4.6399999999999997</v>
      </c>
      <c r="L36" s="3177">
        <v>34</v>
      </c>
      <c r="M36" s="3175">
        <v>-10034</v>
      </c>
      <c r="N36" s="3175" t="s">
        <v>3423</v>
      </c>
      <c r="O36" s="3176">
        <v>23.43</v>
      </c>
      <c r="P36" s="3176">
        <v>7.38</v>
      </c>
    </row>
    <row r="37" spans="1:16" ht="15" thickBot="1">
      <c r="A37" s="3174">
        <v>35</v>
      </c>
      <c r="B37" s="3175" t="s">
        <v>3457</v>
      </c>
      <c r="C37" s="3176">
        <v>89.57</v>
      </c>
      <c r="D37" s="3176">
        <v>28.2</v>
      </c>
      <c r="F37" s="3177">
        <v>35</v>
      </c>
      <c r="G37" s="3175" t="s">
        <v>3422</v>
      </c>
      <c r="H37" s="3178">
        <v>-1035</v>
      </c>
      <c r="I37" s="3179">
        <v>11.08</v>
      </c>
      <c r="J37" s="3179">
        <v>3.49</v>
      </c>
      <c r="L37" s="3177">
        <v>35</v>
      </c>
      <c r="M37" s="3175">
        <v>-10035</v>
      </c>
      <c r="N37" s="3175" t="s">
        <v>3423</v>
      </c>
      <c r="O37" s="3176">
        <v>23.43</v>
      </c>
      <c r="P37" s="3176">
        <v>7.38</v>
      </c>
    </row>
    <row r="38" spans="1:16" ht="15" thickBot="1">
      <c r="A38" s="3174">
        <v>36</v>
      </c>
      <c r="B38" s="3175" t="s">
        <v>3458</v>
      </c>
      <c r="C38" s="3176">
        <v>89.85</v>
      </c>
      <c r="D38" s="3176">
        <v>28.29</v>
      </c>
      <c r="F38" s="3177">
        <v>36</v>
      </c>
      <c r="G38" s="3175" t="s">
        <v>3422</v>
      </c>
      <c r="H38" s="3178">
        <v>-1036</v>
      </c>
      <c r="I38" s="3179">
        <v>11.08</v>
      </c>
      <c r="J38" s="3179">
        <v>3.49</v>
      </c>
      <c r="L38" s="3177">
        <v>36</v>
      </c>
      <c r="M38" s="3175">
        <v>-10036</v>
      </c>
      <c r="N38" s="3175" t="s">
        <v>3423</v>
      </c>
      <c r="O38" s="3176">
        <v>23.43</v>
      </c>
      <c r="P38" s="3176">
        <v>7.38</v>
      </c>
    </row>
    <row r="39" spans="1:16" ht="15" thickBot="1">
      <c r="A39" s="3174">
        <v>37</v>
      </c>
      <c r="B39" s="3175" t="s">
        <v>3459</v>
      </c>
      <c r="C39" s="3176">
        <v>89.21</v>
      </c>
      <c r="D39" s="3176">
        <v>28.09</v>
      </c>
      <c r="F39" s="3177">
        <v>37</v>
      </c>
      <c r="G39" s="3175" t="s">
        <v>3422</v>
      </c>
      <c r="H39" s="3178">
        <v>-1037</v>
      </c>
      <c r="I39" s="3179">
        <v>12.06</v>
      </c>
      <c r="J39" s="3179">
        <v>3.8</v>
      </c>
      <c r="L39" s="3177">
        <v>37</v>
      </c>
      <c r="M39" s="3175">
        <v>-10037</v>
      </c>
      <c r="N39" s="3175" t="s">
        <v>3423</v>
      </c>
      <c r="O39" s="3176">
        <v>23.43</v>
      </c>
      <c r="P39" s="3176">
        <v>7.38</v>
      </c>
    </row>
    <row r="40" spans="1:16" ht="15" thickBot="1">
      <c r="A40" s="3174">
        <v>38</v>
      </c>
      <c r="B40" s="3175" t="s">
        <v>3460</v>
      </c>
      <c r="C40" s="3176">
        <v>88.93</v>
      </c>
      <c r="D40" s="3176">
        <v>28</v>
      </c>
      <c r="F40" s="3177">
        <v>38</v>
      </c>
      <c r="G40" s="3175" t="s">
        <v>3422</v>
      </c>
      <c r="H40" s="3178">
        <v>-1038</v>
      </c>
      <c r="I40" s="3179">
        <v>11.44</v>
      </c>
      <c r="J40" s="3179">
        <v>3.6</v>
      </c>
      <c r="L40" s="3177">
        <v>38</v>
      </c>
      <c r="M40" s="3175">
        <v>-10038</v>
      </c>
      <c r="N40" s="3175" t="s">
        <v>3423</v>
      </c>
      <c r="O40" s="3176">
        <v>23.43</v>
      </c>
      <c r="P40" s="3176">
        <v>7.38</v>
      </c>
    </row>
    <row r="41" spans="1:16" ht="15" thickBot="1">
      <c r="A41" s="3174">
        <v>39</v>
      </c>
      <c r="B41" s="3175" t="s">
        <v>3461</v>
      </c>
      <c r="C41" s="3176">
        <v>88.93</v>
      </c>
      <c r="D41" s="3176">
        <v>28</v>
      </c>
      <c r="F41" s="3177">
        <v>39</v>
      </c>
      <c r="G41" s="3175" t="s">
        <v>3422</v>
      </c>
      <c r="H41" s="3178">
        <v>-1039</v>
      </c>
      <c r="I41" s="3179">
        <v>11.08</v>
      </c>
      <c r="J41" s="3179">
        <v>3.49</v>
      </c>
      <c r="L41" s="3177">
        <v>39</v>
      </c>
      <c r="M41" s="3175">
        <v>-10039</v>
      </c>
      <c r="N41" s="3175" t="s">
        <v>3423</v>
      </c>
      <c r="O41" s="3176">
        <v>23.43</v>
      </c>
      <c r="P41" s="3176">
        <v>7.38</v>
      </c>
    </row>
    <row r="42" spans="1:16" ht="15" thickBot="1">
      <c r="A42" s="3174">
        <v>40</v>
      </c>
      <c r="B42" s="3175" t="s">
        <v>3462</v>
      </c>
      <c r="C42" s="3176">
        <v>112.4</v>
      </c>
      <c r="D42" s="3176">
        <v>35.39</v>
      </c>
      <c r="F42" s="3177">
        <v>40</v>
      </c>
      <c r="G42" s="3175" t="s">
        <v>3422</v>
      </c>
      <c r="H42" s="3178">
        <v>-1040</v>
      </c>
      <c r="I42" s="3179">
        <v>11.08</v>
      </c>
      <c r="J42" s="3179">
        <v>3.49</v>
      </c>
      <c r="L42" s="3177">
        <v>40</v>
      </c>
      <c r="M42" s="3175">
        <v>-10040</v>
      </c>
      <c r="N42" s="3175" t="s">
        <v>3423</v>
      </c>
      <c r="O42" s="3176">
        <v>23.43</v>
      </c>
      <c r="P42" s="3176">
        <v>7.38</v>
      </c>
    </row>
    <row r="43" spans="1:16" ht="15" thickBot="1">
      <c r="A43" s="3174">
        <v>41</v>
      </c>
      <c r="B43" s="3175" t="s">
        <v>3463</v>
      </c>
      <c r="C43" s="3176">
        <v>89.21</v>
      </c>
      <c r="D43" s="3176">
        <v>28.09</v>
      </c>
      <c r="F43" s="3177">
        <v>41</v>
      </c>
      <c r="G43" s="3175" t="s">
        <v>3422</v>
      </c>
      <c r="H43" s="3178">
        <v>-1041</v>
      </c>
      <c r="I43" s="3179">
        <v>14.75</v>
      </c>
      <c r="J43" s="3179">
        <v>4.6399999999999997</v>
      </c>
      <c r="L43" s="3177">
        <v>41</v>
      </c>
      <c r="M43" s="3175">
        <v>-10041</v>
      </c>
      <c r="N43" s="3175" t="s">
        <v>3423</v>
      </c>
      <c r="O43" s="3176">
        <v>23.43</v>
      </c>
      <c r="P43" s="3176">
        <v>7.38</v>
      </c>
    </row>
    <row r="44" spans="1:16" ht="15" thickBot="1">
      <c r="A44" s="3174">
        <v>42</v>
      </c>
      <c r="B44" s="3175" t="s">
        <v>3464</v>
      </c>
      <c r="C44" s="3176">
        <v>88.93</v>
      </c>
      <c r="D44" s="3176">
        <v>28</v>
      </c>
      <c r="F44" s="3177">
        <v>42</v>
      </c>
      <c r="G44" s="3175" t="s">
        <v>3422</v>
      </c>
      <c r="H44" s="3178">
        <v>-1042</v>
      </c>
      <c r="I44" s="3179">
        <v>12.12</v>
      </c>
      <c r="J44" s="3179">
        <v>3.82</v>
      </c>
      <c r="L44" s="3177">
        <v>42</v>
      </c>
      <c r="M44" s="3175">
        <v>-10042</v>
      </c>
      <c r="N44" s="3175" t="s">
        <v>3423</v>
      </c>
      <c r="O44" s="3176">
        <v>23.43</v>
      </c>
      <c r="P44" s="3176">
        <v>7.38</v>
      </c>
    </row>
    <row r="45" spans="1:16" ht="15" thickBot="1">
      <c r="A45" s="3174">
        <v>43</v>
      </c>
      <c r="B45" s="3175" t="s">
        <v>3465</v>
      </c>
      <c r="C45" s="3176">
        <v>88.93</v>
      </c>
      <c r="D45" s="3176">
        <v>28</v>
      </c>
      <c r="F45" s="3177">
        <v>43</v>
      </c>
      <c r="G45" s="3175" t="s">
        <v>3422</v>
      </c>
      <c r="H45" s="3178">
        <v>-1043</v>
      </c>
      <c r="I45" s="3179">
        <v>12.34</v>
      </c>
      <c r="J45" s="3179">
        <v>3.89</v>
      </c>
      <c r="L45" s="3177">
        <v>43</v>
      </c>
      <c r="M45" s="3175">
        <v>-10043</v>
      </c>
      <c r="N45" s="3175" t="s">
        <v>3423</v>
      </c>
      <c r="O45" s="3176">
        <v>23.43</v>
      </c>
      <c r="P45" s="3176">
        <v>7.38</v>
      </c>
    </row>
    <row r="46" spans="1:16" ht="15" thickBot="1">
      <c r="A46" s="3174">
        <v>44</v>
      </c>
      <c r="B46" s="3175" t="s">
        <v>3466</v>
      </c>
      <c r="C46" s="3176">
        <v>112.4</v>
      </c>
      <c r="D46" s="3176">
        <v>35.39</v>
      </c>
      <c r="F46" s="3177">
        <v>44</v>
      </c>
      <c r="G46" s="3175" t="s">
        <v>3422</v>
      </c>
      <c r="H46" s="3178">
        <v>-1044</v>
      </c>
      <c r="I46" s="3179">
        <v>8.59</v>
      </c>
      <c r="J46" s="3179">
        <v>2.7</v>
      </c>
      <c r="L46" s="3177">
        <v>44</v>
      </c>
      <c r="M46" s="3175">
        <v>-10044</v>
      </c>
      <c r="N46" s="3175" t="s">
        <v>3423</v>
      </c>
      <c r="O46" s="3176">
        <v>23.43</v>
      </c>
      <c r="P46" s="3176">
        <v>7.38</v>
      </c>
    </row>
    <row r="47" spans="1:16" ht="15" thickBot="1">
      <c r="A47" s="3174">
        <v>45</v>
      </c>
      <c r="B47" s="3175" t="s">
        <v>3467</v>
      </c>
      <c r="C47" s="3176">
        <v>89.21</v>
      </c>
      <c r="D47" s="3176">
        <v>28.09</v>
      </c>
      <c r="F47" s="3177">
        <v>45</v>
      </c>
      <c r="G47" s="3175" t="s">
        <v>3422</v>
      </c>
      <c r="H47" s="3178">
        <v>-1045</v>
      </c>
      <c r="I47" s="3179">
        <v>8.59</v>
      </c>
      <c r="J47" s="3179">
        <v>2.7</v>
      </c>
      <c r="L47" s="3177">
        <v>45</v>
      </c>
      <c r="M47" s="3175">
        <v>-10045</v>
      </c>
      <c r="N47" s="3175" t="s">
        <v>3423</v>
      </c>
      <c r="O47" s="3176">
        <v>23.43</v>
      </c>
      <c r="P47" s="3176">
        <v>7.38</v>
      </c>
    </row>
    <row r="48" spans="1:16" ht="15" thickBot="1">
      <c r="A48" s="3174">
        <v>46</v>
      </c>
      <c r="B48" s="3175" t="s">
        <v>3468</v>
      </c>
      <c r="C48" s="3176">
        <v>88.93</v>
      </c>
      <c r="D48" s="3176">
        <v>28</v>
      </c>
      <c r="F48" s="3177">
        <v>46</v>
      </c>
      <c r="G48" s="3175" t="s">
        <v>3422</v>
      </c>
      <c r="H48" s="3178">
        <v>-1046</v>
      </c>
      <c r="I48" s="3179">
        <v>8.59</v>
      </c>
      <c r="J48" s="3179">
        <v>2.7</v>
      </c>
      <c r="L48" s="3177">
        <v>46</v>
      </c>
      <c r="M48" s="3175">
        <v>-10046</v>
      </c>
      <c r="N48" s="3175" t="s">
        <v>3423</v>
      </c>
      <c r="O48" s="3176">
        <v>23.43</v>
      </c>
      <c r="P48" s="3176">
        <v>7.38</v>
      </c>
    </row>
    <row r="49" spans="1:16" ht="15" thickBot="1">
      <c r="A49" s="3174">
        <v>47</v>
      </c>
      <c r="B49" s="3175" t="s">
        <v>3469</v>
      </c>
      <c r="C49" s="3176">
        <v>88.93</v>
      </c>
      <c r="D49" s="3176">
        <v>28</v>
      </c>
      <c r="F49" s="3177">
        <v>47</v>
      </c>
      <c r="G49" s="3175" t="s">
        <v>3422</v>
      </c>
      <c r="H49" s="3178">
        <v>-1047</v>
      </c>
      <c r="I49" s="3179">
        <v>8.59</v>
      </c>
      <c r="J49" s="3179">
        <v>2.7</v>
      </c>
      <c r="L49" s="3177">
        <v>47</v>
      </c>
      <c r="M49" s="3175">
        <v>-10047</v>
      </c>
      <c r="N49" s="3175" t="s">
        <v>3423</v>
      </c>
      <c r="O49" s="3176">
        <v>23.43</v>
      </c>
      <c r="P49" s="3176">
        <v>7.38</v>
      </c>
    </row>
    <row r="50" spans="1:16" ht="15" thickBot="1">
      <c r="A50" s="3174">
        <v>48</v>
      </c>
      <c r="B50" s="3175" t="s">
        <v>3470</v>
      </c>
      <c r="C50" s="3176">
        <v>112.4</v>
      </c>
      <c r="D50" s="3176">
        <v>35.39</v>
      </c>
      <c r="F50" s="3177">
        <v>48</v>
      </c>
      <c r="G50" s="3175" t="s">
        <v>3422</v>
      </c>
      <c r="H50" s="3178">
        <v>-1048</v>
      </c>
      <c r="I50" s="3179">
        <v>12.34</v>
      </c>
      <c r="J50" s="3179">
        <v>3.89</v>
      </c>
      <c r="L50" s="3177">
        <v>48</v>
      </c>
      <c r="M50" s="3175">
        <v>-10048</v>
      </c>
      <c r="N50" s="3175" t="s">
        <v>3423</v>
      </c>
      <c r="O50" s="3176">
        <v>23.43</v>
      </c>
      <c r="P50" s="3176">
        <v>7.38</v>
      </c>
    </row>
    <row r="51" spans="1:16" ht="15" thickBot="1">
      <c r="A51" s="3174">
        <v>49</v>
      </c>
      <c r="B51" s="3175" t="s">
        <v>3471</v>
      </c>
      <c r="C51" s="3176">
        <v>112.4</v>
      </c>
      <c r="D51" s="3176">
        <v>35.39</v>
      </c>
      <c r="F51" s="3177">
        <v>49</v>
      </c>
      <c r="G51" s="3175" t="s">
        <v>3422</v>
      </c>
      <c r="H51" s="3178">
        <v>-1049</v>
      </c>
      <c r="I51" s="3179">
        <v>12.12</v>
      </c>
      <c r="J51" s="3179">
        <v>3.82</v>
      </c>
      <c r="L51" s="3177">
        <v>49</v>
      </c>
      <c r="M51" s="3175">
        <v>-10049</v>
      </c>
      <c r="N51" s="3175" t="s">
        <v>3423</v>
      </c>
      <c r="O51" s="3176">
        <v>23.43</v>
      </c>
      <c r="P51" s="3176">
        <v>7.38</v>
      </c>
    </row>
    <row r="52" spans="1:16" ht="15" thickBot="1">
      <c r="A52" s="3174">
        <v>50</v>
      </c>
      <c r="B52" s="3175" t="s">
        <v>3472</v>
      </c>
      <c r="C52" s="3176">
        <v>88.93</v>
      </c>
      <c r="D52" s="3176">
        <v>28</v>
      </c>
      <c r="F52" s="3177">
        <v>50</v>
      </c>
      <c r="G52" s="3175" t="s">
        <v>3422</v>
      </c>
      <c r="H52" s="3178">
        <v>-1050</v>
      </c>
      <c r="I52" s="3179">
        <v>13.96</v>
      </c>
      <c r="J52" s="3179">
        <v>4.4000000000000004</v>
      </c>
      <c r="L52" s="3177">
        <v>50</v>
      </c>
      <c r="M52" s="3175">
        <v>-10050</v>
      </c>
      <c r="N52" s="3175" t="s">
        <v>3423</v>
      </c>
      <c r="O52" s="3176">
        <v>23.43</v>
      </c>
      <c r="P52" s="3176">
        <v>7.38</v>
      </c>
    </row>
    <row r="53" spans="1:16" ht="15" thickBot="1">
      <c r="A53" s="3174">
        <v>51</v>
      </c>
      <c r="B53" s="3175" t="s">
        <v>3473</v>
      </c>
      <c r="C53" s="3176">
        <v>88.93</v>
      </c>
      <c r="D53" s="3176">
        <v>28</v>
      </c>
      <c r="F53" s="3177">
        <v>51</v>
      </c>
      <c r="G53" s="3175" t="s">
        <v>3422</v>
      </c>
      <c r="H53" s="3178">
        <v>-1051</v>
      </c>
      <c r="I53" s="3179">
        <v>10.73</v>
      </c>
      <c r="J53" s="3179">
        <v>3.38</v>
      </c>
      <c r="L53" s="3177">
        <v>51</v>
      </c>
      <c r="M53" s="3175">
        <v>-10051</v>
      </c>
      <c r="N53" s="3175" t="s">
        <v>3423</v>
      </c>
      <c r="O53" s="3176">
        <v>23.43</v>
      </c>
      <c r="P53" s="3176">
        <v>7.38</v>
      </c>
    </row>
    <row r="54" spans="1:16" ht="15" thickBot="1">
      <c r="A54" s="3174">
        <v>52</v>
      </c>
      <c r="B54" s="3175" t="s">
        <v>3474</v>
      </c>
      <c r="C54" s="3176">
        <v>89.21</v>
      </c>
      <c r="D54" s="3176">
        <v>28.09</v>
      </c>
      <c r="F54" s="3177">
        <v>52</v>
      </c>
      <c r="G54" s="3175" t="s">
        <v>3422</v>
      </c>
      <c r="H54" s="3178">
        <v>-1052</v>
      </c>
      <c r="I54" s="3179">
        <v>10.14</v>
      </c>
      <c r="J54" s="3179">
        <v>3.19</v>
      </c>
      <c r="L54" s="3177">
        <v>52</v>
      </c>
      <c r="M54" s="3175">
        <v>-10052</v>
      </c>
      <c r="N54" s="3175" t="s">
        <v>3423</v>
      </c>
      <c r="O54" s="3176">
        <v>23.43</v>
      </c>
      <c r="P54" s="3176">
        <v>7.38</v>
      </c>
    </row>
    <row r="55" spans="1:16" ht="15" thickBot="1">
      <c r="A55" s="3174">
        <v>53</v>
      </c>
      <c r="B55" s="3175" t="s">
        <v>3475</v>
      </c>
      <c r="C55" s="3176">
        <v>112.4</v>
      </c>
      <c r="D55" s="3176">
        <v>35.39</v>
      </c>
      <c r="F55" s="3177">
        <v>53</v>
      </c>
      <c r="G55" s="3175" t="s">
        <v>3422</v>
      </c>
      <c r="H55" s="3178">
        <v>-1053</v>
      </c>
      <c r="I55" s="3179">
        <v>10.44</v>
      </c>
      <c r="J55" s="3179">
        <v>3.29</v>
      </c>
      <c r="L55" s="3177">
        <v>53</v>
      </c>
      <c r="M55" s="3175">
        <v>-10053</v>
      </c>
      <c r="N55" s="3175" t="s">
        <v>3423</v>
      </c>
      <c r="O55" s="3176">
        <v>23.43</v>
      </c>
      <c r="P55" s="3176">
        <v>7.38</v>
      </c>
    </row>
    <row r="56" spans="1:16" ht="15" thickBot="1">
      <c r="A56" s="3174">
        <v>54</v>
      </c>
      <c r="B56" s="3175" t="s">
        <v>3476</v>
      </c>
      <c r="C56" s="3176">
        <v>88.93</v>
      </c>
      <c r="D56" s="3176">
        <v>28</v>
      </c>
      <c r="F56" s="3177">
        <v>54</v>
      </c>
      <c r="G56" s="3175" t="s">
        <v>3477</v>
      </c>
      <c r="H56" s="3178">
        <v>-1001</v>
      </c>
      <c r="I56" s="3179">
        <v>8.57</v>
      </c>
      <c r="J56" s="3179">
        <v>2.7</v>
      </c>
      <c r="L56" s="3177">
        <v>54</v>
      </c>
      <c r="M56" s="3175">
        <v>-10054</v>
      </c>
      <c r="N56" s="3175" t="s">
        <v>3423</v>
      </c>
      <c r="O56" s="3176">
        <v>23.43</v>
      </c>
      <c r="P56" s="3176">
        <v>7.38</v>
      </c>
    </row>
    <row r="57" spans="1:16" ht="15" thickBot="1">
      <c r="A57" s="3174">
        <v>55</v>
      </c>
      <c r="B57" s="3175" t="s">
        <v>3478</v>
      </c>
      <c r="C57" s="3176">
        <v>88.93</v>
      </c>
      <c r="D57" s="3176">
        <v>28</v>
      </c>
      <c r="F57" s="3177">
        <v>55</v>
      </c>
      <c r="G57" s="3175" t="s">
        <v>3477</v>
      </c>
      <c r="H57" s="3178">
        <v>-1002</v>
      </c>
      <c r="I57" s="3179">
        <v>8.7899999999999991</v>
      </c>
      <c r="J57" s="3179">
        <v>2.77</v>
      </c>
      <c r="L57" s="3177">
        <v>55</v>
      </c>
      <c r="M57" s="3175">
        <v>-10055</v>
      </c>
      <c r="N57" s="3175" t="s">
        <v>3423</v>
      </c>
      <c r="O57" s="3176">
        <v>23.43</v>
      </c>
      <c r="P57" s="3176">
        <v>7.38</v>
      </c>
    </row>
    <row r="58" spans="1:16" ht="15" thickBot="1">
      <c r="A58" s="3174">
        <v>56</v>
      </c>
      <c r="B58" s="3175" t="s">
        <v>3479</v>
      </c>
      <c r="C58" s="3176">
        <v>89.21</v>
      </c>
      <c r="D58" s="3176">
        <v>28.09</v>
      </c>
      <c r="F58" s="3177">
        <v>56</v>
      </c>
      <c r="G58" s="3175" t="s">
        <v>3477</v>
      </c>
      <c r="H58" s="3178">
        <v>-1003</v>
      </c>
      <c r="I58" s="3179">
        <v>12.57</v>
      </c>
      <c r="J58" s="3179">
        <v>3.96</v>
      </c>
      <c r="L58" s="3177">
        <v>56</v>
      </c>
      <c r="M58" s="3175">
        <v>-10056</v>
      </c>
      <c r="N58" s="3175" t="s">
        <v>3423</v>
      </c>
      <c r="O58" s="3176">
        <v>23.43</v>
      </c>
      <c r="P58" s="3176">
        <v>7.38</v>
      </c>
    </row>
    <row r="59" spans="1:16" ht="15" thickBot="1">
      <c r="A59" s="3174">
        <v>57</v>
      </c>
      <c r="B59" s="3175" t="s">
        <v>3480</v>
      </c>
      <c r="C59" s="3176">
        <v>112.4</v>
      </c>
      <c r="D59" s="3176">
        <v>35.39</v>
      </c>
      <c r="F59" s="3177">
        <v>57</v>
      </c>
      <c r="G59" s="3175" t="s">
        <v>3477</v>
      </c>
      <c r="H59" s="3178">
        <v>-1004</v>
      </c>
      <c r="I59" s="3179">
        <v>15.45</v>
      </c>
      <c r="J59" s="3179">
        <v>4.8600000000000003</v>
      </c>
      <c r="L59" s="3177">
        <v>57</v>
      </c>
      <c r="M59" s="3175">
        <v>-10057</v>
      </c>
      <c r="N59" s="3175" t="s">
        <v>3423</v>
      </c>
      <c r="O59" s="3176">
        <v>23.43</v>
      </c>
      <c r="P59" s="3176">
        <v>7.38</v>
      </c>
    </row>
    <row r="60" spans="1:16" ht="15" thickBot="1">
      <c r="A60" s="3174">
        <v>58</v>
      </c>
      <c r="B60" s="3175" t="s">
        <v>3481</v>
      </c>
      <c r="C60" s="3176">
        <v>88.93</v>
      </c>
      <c r="D60" s="3176">
        <v>28</v>
      </c>
      <c r="F60" s="3177">
        <v>58</v>
      </c>
      <c r="G60" s="3175" t="s">
        <v>3477</v>
      </c>
      <c r="H60" s="3178">
        <v>-1005</v>
      </c>
      <c r="I60" s="3179">
        <v>15.01</v>
      </c>
      <c r="J60" s="3179">
        <v>4.7300000000000004</v>
      </c>
      <c r="L60" s="3177">
        <v>58</v>
      </c>
      <c r="M60" s="3175">
        <v>-100579</v>
      </c>
      <c r="N60" s="3175" t="s">
        <v>3423</v>
      </c>
      <c r="O60" s="3176">
        <v>23.43</v>
      </c>
      <c r="P60" s="3176">
        <v>7.38</v>
      </c>
    </row>
    <row r="61" spans="1:16" ht="15" thickBot="1">
      <c r="A61" s="3174">
        <v>59</v>
      </c>
      <c r="B61" s="3175" t="s">
        <v>3482</v>
      </c>
      <c r="C61" s="3176">
        <v>88.93</v>
      </c>
      <c r="D61" s="3176">
        <v>28</v>
      </c>
      <c r="F61" s="3177">
        <v>59</v>
      </c>
      <c r="G61" s="3175" t="s">
        <v>3477</v>
      </c>
      <c r="H61" s="3178">
        <v>-1006</v>
      </c>
      <c r="I61" s="3179">
        <v>15.01</v>
      </c>
      <c r="J61" s="3179">
        <v>4.7300000000000004</v>
      </c>
      <c r="L61" s="3177">
        <v>59</v>
      </c>
      <c r="M61" s="3175">
        <v>-10058</v>
      </c>
      <c r="N61" s="3175" t="s">
        <v>3423</v>
      </c>
      <c r="O61" s="3176">
        <v>23.43</v>
      </c>
      <c r="P61" s="3176">
        <v>7.38</v>
      </c>
    </row>
    <row r="62" spans="1:16" ht="15" thickBot="1">
      <c r="A62" s="3174">
        <v>60</v>
      </c>
      <c r="B62" s="3175" t="s">
        <v>3483</v>
      </c>
      <c r="C62" s="3176">
        <v>89.21</v>
      </c>
      <c r="D62" s="3176">
        <v>28.09</v>
      </c>
      <c r="F62" s="3177">
        <v>60</v>
      </c>
      <c r="G62" s="3175" t="s">
        <v>3477</v>
      </c>
      <c r="H62" s="3178">
        <v>-1007</v>
      </c>
      <c r="I62" s="3179">
        <v>15.01</v>
      </c>
      <c r="J62" s="3179">
        <v>4.7300000000000004</v>
      </c>
      <c r="L62" s="3177">
        <v>60</v>
      </c>
      <c r="M62" s="3175">
        <v>-100580</v>
      </c>
      <c r="N62" s="3175" t="s">
        <v>3423</v>
      </c>
      <c r="O62" s="3176">
        <v>23.43</v>
      </c>
      <c r="P62" s="3176">
        <v>7.38</v>
      </c>
    </row>
    <row r="63" spans="1:16" ht="15" thickBot="1">
      <c r="A63" s="3174">
        <v>61</v>
      </c>
      <c r="B63" s="3175" t="s">
        <v>3484</v>
      </c>
      <c r="C63" s="3176">
        <v>89.85</v>
      </c>
      <c r="D63" s="3176">
        <v>28.29</v>
      </c>
      <c r="F63" s="3177">
        <v>61</v>
      </c>
      <c r="G63" s="3175" t="s">
        <v>3477</v>
      </c>
      <c r="H63" s="3178">
        <v>-1008</v>
      </c>
      <c r="I63" s="3179">
        <v>14.54</v>
      </c>
      <c r="J63" s="3179">
        <v>4.58</v>
      </c>
      <c r="L63" s="3177">
        <v>61</v>
      </c>
      <c r="M63" s="3175">
        <v>-100581</v>
      </c>
      <c r="N63" s="3175" t="s">
        <v>3423</v>
      </c>
      <c r="O63" s="3176">
        <v>23.43</v>
      </c>
      <c r="P63" s="3176">
        <v>7.38</v>
      </c>
    </row>
    <row r="64" spans="1:16" ht="15" thickBot="1">
      <c r="A64" s="3174">
        <v>62</v>
      </c>
      <c r="B64" s="3175" t="s">
        <v>3485</v>
      </c>
      <c r="C64" s="3176">
        <v>89.47</v>
      </c>
      <c r="D64" s="3176">
        <v>28.17</v>
      </c>
      <c r="F64" s="3177">
        <v>62</v>
      </c>
      <c r="G64" s="3175" t="s">
        <v>3477</v>
      </c>
      <c r="H64" s="3178">
        <v>-1009</v>
      </c>
      <c r="I64" s="3179">
        <v>15.01</v>
      </c>
      <c r="J64" s="3179">
        <v>4.7300000000000004</v>
      </c>
      <c r="L64" s="3177">
        <v>62</v>
      </c>
      <c r="M64" s="3175">
        <v>-100582</v>
      </c>
      <c r="N64" s="3175" t="s">
        <v>3423</v>
      </c>
      <c r="O64" s="3176">
        <v>23.43</v>
      </c>
      <c r="P64" s="3176">
        <v>7.38</v>
      </c>
    </row>
    <row r="65" spans="1:16" ht="15" thickBot="1">
      <c r="A65" s="3174">
        <v>63</v>
      </c>
      <c r="B65" s="3175" t="s">
        <v>3486</v>
      </c>
      <c r="C65" s="3176">
        <v>59.35</v>
      </c>
      <c r="D65" s="3176">
        <v>18.690000000000001</v>
      </c>
      <c r="F65" s="3177">
        <v>63</v>
      </c>
      <c r="G65" s="3175" t="s">
        <v>3477</v>
      </c>
      <c r="H65" s="3178">
        <v>-1010</v>
      </c>
      <c r="I65" s="3179">
        <v>17.420000000000002</v>
      </c>
      <c r="J65" s="3179">
        <v>5.48</v>
      </c>
      <c r="L65" s="3177">
        <v>63</v>
      </c>
      <c r="M65" s="3175">
        <v>-100583</v>
      </c>
      <c r="N65" s="3175" t="s">
        <v>3423</v>
      </c>
      <c r="O65" s="3176">
        <v>23.43</v>
      </c>
      <c r="P65" s="3176">
        <v>7.38</v>
      </c>
    </row>
    <row r="66" spans="1:16" ht="15" thickBot="1">
      <c r="A66" s="3174">
        <v>64</v>
      </c>
      <c r="B66" s="3175" t="s">
        <v>3487</v>
      </c>
      <c r="C66" s="3176">
        <v>113.82</v>
      </c>
      <c r="D66" s="3176">
        <v>35.83</v>
      </c>
      <c r="F66" s="3177">
        <v>64</v>
      </c>
      <c r="G66" s="3175" t="s">
        <v>3477</v>
      </c>
      <c r="H66" s="3178">
        <v>-1011</v>
      </c>
      <c r="I66" s="3179">
        <v>17.670000000000002</v>
      </c>
      <c r="J66" s="3179">
        <v>5.56</v>
      </c>
      <c r="L66" s="3177">
        <v>64</v>
      </c>
      <c r="M66" s="3175">
        <v>-100584</v>
      </c>
      <c r="N66" s="3175" t="s">
        <v>3423</v>
      </c>
      <c r="O66" s="3176">
        <v>23.43</v>
      </c>
      <c r="P66" s="3176">
        <v>7.38</v>
      </c>
    </row>
    <row r="67" spans="1:16" ht="15" thickBot="1">
      <c r="A67" s="3174">
        <v>65</v>
      </c>
      <c r="B67" s="3175" t="s">
        <v>3488</v>
      </c>
      <c r="C67" s="3176">
        <v>89.85</v>
      </c>
      <c r="D67" s="3176">
        <v>28.29</v>
      </c>
      <c r="F67" s="3177">
        <v>65</v>
      </c>
      <c r="G67" s="3175" t="s">
        <v>3477</v>
      </c>
      <c r="H67" s="3178">
        <v>-1012</v>
      </c>
      <c r="I67" s="3179">
        <v>15.79</v>
      </c>
      <c r="J67" s="3179">
        <v>4.97</v>
      </c>
      <c r="L67" s="3177">
        <v>65</v>
      </c>
      <c r="M67" s="3175">
        <v>-100585</v>
      </c>
      <c r="N67" s="3175" t="s">
        <v>3423</v>
      </c>
      <c r="O67" s="3176">
        <v>23.43</v>
      </c>
      <c r="P67" s="3176">
        <v>7.38</v>
      </c>
    </row>
    <row r="68" spans="1:16" ht="15" thickBot="1">
      <c r="A68" s="3174">
        <v>66</v>
      </c>
      <c r="B68" s="3175" t="s">
        <v>3489</v>
      </c>
      <c r="C68" s="3176">
        <v>89.57</v>
      </c>
      <c r="D68" s="3176">
        <v>28.2</v>
      </c>
      <c r="F68" s="3177">
        <v>66</v>
      </c>
      <c r="G68" s="3175" t="s">
        <v>3477</v>
      </c>
      <c r="H68" s="3178">
        <v>-1013</v>
      </c>
      <c r="I68" s="3179">
        <v>21.26</v>
      </c>
      <c r="J68" s="3179">
        <v>6.69</v>
      </c>
      <c r="L68" s="3177">
        <v>66</v>
      </c>
      <c r="M68" s="3175">
        <v>-100586</v>
      </c>
      <c r="N68" s="3175" t="s">
        <v>3423</v>
      </c>
      <c r="O68" s="3176">
        <v>23.43</v>
      </c>
      <c r="P68" s="3176">
        <v>7.38</v>
      </c>
    </row>
    <row r="69" spans="1:16" ht="15" thickBot="1">
      <c r="A69" s="3174">
        <v>67</v>
      </c>
      <c r="B69" s="3175" t="s">
        <v>3490</v>
      </c>
      <c r="C69" s="3176">
        <v>89.57</v>
      </c>
      <c r="D69" s="3176">
        <v>28.2</v>
      </c>
      <c r="F69" s="3177">
        <v>67</v>
      </c>
      <c r="G69" s="3175" t="s">
        <v>3477</v>
      </c>
      <c r="H69" s="3178">
        <v>-1014</v>
      </c>
      <c r="I69" s="3179">
        <v>9.8800000000000008</v>
      </c>
      <c r="J69" s="3179">
        <v>3.11</v>
      </c>
      <c r="L69" s="3177">
        <v>67</v>
      </c>
      <c r="M69" s="3175">
        <v>-100587</v>
      </c>
      <c r="N69" s="3175" t="s">
        <v>3423</v>
      </c>
      <c r="O69" s="3176">
        <v>23.43</v>
      </c>
      <c r="P69" s="3176">
        <v>7.38</v>
      </c>
    </row>
    <row r="70" spans="1:16" ht="15" thickBot="1">
      <c r="A70" s="3174">
        <v>68</v>
      </c>
      <c r="B70" s="3175" t="s">
        <v>3491</v>
      </c>
      <c r="C70" s="3176">
        <v>113.82</v>
      </c>
      <c r="D70" s="3176">
        <v>35.83</v>
      </c>
      <c r="F70" s="3177">
        <v>68</v>
      </c>
      <c r="G70" s="3175" t="s">
        <v>3477</v>
      </c>
      <c r="H70" s="3178">
        <v>-1015</v>
      </c>
      <c r="I70" s="3179">
        <v>9.6199999999999992</v>
      </c>
      <c r="J70" s="3179">
        <v>3.03</v>
      </c>
      <c r="L70" s="3177">
        <v>68</v>
      </c>
      <c r="M70" s="3175">
        <v>-100588</v>
      </c>
      <c r="N70" s="3175" t="s">
        <v>3423</v>
      </c>
      <c r="O70" s="3176">
        <v>23.43</v>
      </c>
      <c r="P70" s="3176">
        <v>7.38</v>
      </c>
    </row>
    <row r="71" spans="1:16" ht="15" thickBot="1">
      <c r="A71" s="3174">
        <v>69</v>
      </c>
      <c r="B71" s="3175" t="s">
        <v>3492</v>
      </c>
      <c r="C71" s="3176">
        <v>89.85</v>
      </c>
      <c r="D71" s="3176">
        <v>28.29</v>
      </c>
      <c r="F71" s="3177">
        <v>69</v>
      </c>
      <c r="G71" s="3175" t="s">
        <v>3477</v>
      </c>
      <c r="H71" s="3178">
        <v>-1016</v>
      </c>
      <c r="I71" s="3179">
        <v>11.86</v>
      </c>
      <c r="J71" s="3179">
        <v>3.73</v>
      </c>
      <c r="L71" s="3177">
        <v>69</v>
      </c>
      <c r="M71" s="3175">
        <v>-100589</v>
      </c>
      <c r="N71" s="3175" t="s">
        <v>3423</v>
      </c>
      <c r="O71" s="3176">
        <v>23.43</v>
      </c>
      <c r="P71" s="3176">
        <v>7.38</v>
      </c>
    </row>
    <row r="72" spans="1:16" ht="15" thickBot="1">
      <c r="A72" s="3174">
        <v>70</v>
      </c>
      <c r="B72" s="3175" t="s">
        <v>3493</v>
      </c>
      <c r="C72" s="3176">
        <v>89.57</v>
      </c>
      <c r="D72" s="3176">
        <v>28.2</v>
      </c>
      <c r="F72" s="3177">
        <v>70</v>
      </c>
      <c r="G72" s="3175" t="s">
        <v>3477</v>
      </c>
      <c r="H72" s="3178">
        <v>-1017</v>
      </c>
      <c r="I72" s="3179">
        <v>11.2</v>
      </c>
      <c r="J72" s="3179">
        <v>3.53</v>
      </c>
      <c r="L72" s="3177">
        <v>70</v>
      </c>
      <c r="M72" s="3175">
        <v>-10059</v>
      </c>
      <c r="N72" s="3175" t="s">
        <v>3423</v>
      </c>
      <c r="O72" s="3176">
        <v>23.43</v>
      </c>
      <c r="P72" s="3176">
        <v>7.38</v>
      </c>
    </row>
    <row r="73" spans="1:16" ht="15" thickBot="1">
      <c r="A73" s="3174">
        <v>71</v>
      </c>
      <c r="B73" s="3175" t="s">
        <v>3494</v>
      </c>
      <c r="C73" s="3176">
        <v>89.57</v>
      </c>
      <c r="D73" s="3176">
        <v>28.2</v>
      </c>
      <c r="F73" s="3177">
        <v>71</v>
      </c>
      <c r="G73" s="3175" t="s">
        <v>3477</v>
      </c>
      <c r="H73" s="3178">
        <v>-1018</v>
      </c>
      <c r="I73" s="3179">
        <v>11.54</v>
      </c>
      <c r="J73" s="3179">
        <v>3.63</v>
      </c>
      <c r="L73" s="3177">
        <v>71</v>
      </c>
      <c r="M73" s="3175">
        <v>-100590</v>
      </c>
      <c r="N73" s="3175" t="s">
        <v>3423</v>
      </c>
      <c r="O73" s="3176">
        <v>23.43</v>
      </c>
      <c r="P73" s="3176">
        <v>7.38</v>
      </c>
    </row>
    <row r="74" spans="1:16" ht="15" thickBot="1">
      <c r="A74" s="3174">
        <v>72</v>
      </c>
      <c r="B74" s="3175" t="s">
        <v>3495</v>
      </c>
      <c r="C74" s="3176">
        <v>113.82</v>
      </c>
      <c r="D74" s="3176">
        <v>35.83</v>
      </c>
      <c r="F74" s="3177">
        <v>72</v>
      </c>
      <c r="G74" s="3175" t="s">
        <v>3477</v>
      </c>
      <c r="H74" s="3178">
        <v>-1019</v>
      </c>
      <c r="I74" s="3179">
        <v>15.42</v>
      </c>
      <c r="J74" s="3179">
        <v>4.8499999999999996</v>
      </c>
      <c r="L74" s="3177">
        <v>72</v>
      </c>
      <c r="M74" s="3175">
        <v>-100591</v>
      </c>
      <c r="N74" s="3175" t="s">
        <v>3423</v>
      </c>
      <c r="O74" s="3176">
        <v>23.43</v>
      </c>
      <c r="P74" s="3176">
        <v>7.38</v>
      </c>
    </row>
    <row r="75" spans="1:16" ht="15" thickBot="1">
      <c r="A75" s="3174">
        <v>73</v>
      </c>
      <c r="B75" s="3175" t="s">
        <v>3496</v>
      </c>
      <c r="C75" s="3176">
        <v>89.17</v>
      </c>
      <c r="D75" s="3176">
        <v>28.07</v>
      </c>
      <c r="F75" s="3177">
        <v>73</v>
      </c>
      <c r="G75" s="3175" t="s">
        <v>3477</v>
      </c>
      <c r="H75" s="3178">
        <v>-1020</v>
      </c>
      <c r="I75" s="3179">
        <v>13.4</v>
      </c>
      <c r="J75" s="3179">
        <v>4.22</v>
      </c>
      <c r="L75" s="3177">
        <v>73</v>
      </c>
      <c r="M75" s="3175">
        <v>-100592</v>
      </c>
      <c r="N75" s="3175" t="s">
        <v>3423</v>
      </c>
      <c r="O75" s="3176">
        <v>23.43</v>
      </c>
      <c r="P75" s="3176">
        <v>7.38</v>
      </c>
    </row>
    <row r="76" spans="1:16" ht="15" thickBot="1">
      <c r="A76" s="3174">
        <v>74</v>
      </c>
      <c r="B76" s="3175" t="s">
        <v>3497</v>
      </c>
      <c r="C76" s="3176">
        <v>88.89</v>
      </c>
      <c r="D76" s="3176">
        <v>27.99</v>
      </c>
      <c r="F76" s="3177">
        <v>74</v>
      </c>
      <c r="G76" s="3175" t="s">
        <v>3477</v>
      </c>
      <c r="H76" s="3178">
        <v>-1021</v>
      </c>
      <c r="I76" s="3179">
        <v>13.64</v>
      </c>
      <c r="J76" s="3179">
        <v>4.29</v>
      </c>
      <c r="L76" s="3177">
        <v>74</v>
      </c>
      <c r="M76" s="3175">
        <v>-100593</v>
      </c>
      <c r="N76" s="3175" t="s">
        <v>3423</v>
      </c>
      <c r="O76" s="3176">
        <v>23.43</v>
      </c>
      <c r="P76" s="3176">
        <v>7.38</v>
      </c>
    </row>
    <row r="77" spans="1:16" ht="15" thickBot="1">
      <c r="A77" s="3174">
        <v>75</v>
      </c>
      <c r="B77" s="3175" t="s">
        <v>3498</v>
      </c>
      <c r="C77" s="3176">
        <v>88.89</v>
      </c>
      <c r="D77" s="3176">
        <v>27.99</v>
      </c>
      <c r="F77" s="3177">
        <v>75</v>
      </c>
      <c r="G77" s="3175" t="s">
        <v>3477</v>
      </c>
      <c r="H77" s="3178">
        <v>-1022</v>
      </c>
      <c r="I77" s="3179">
        <v>9.49</v>
      </c>
      <c r="J77" s="3179">
        <v>2.99</v>
      </c>
      <c r="L77" s="3177">
        <v>75</v>
      </c>
      <c r="M77" s="3175">
        <v>-100594</v>
      </c>
      <c r="N77" s="3175" t="s">
        <v>3423</v>
      </c>
      <c r="O77" s="3176">
        <v>23.43</v>
      </c>
      <c r="P77" s="3176">
        <v>7.38</v>
      </c>
    </row>
    <row r="78" spans="1:16" ht="15" thickBot="1">
      <c r="A78" s="3174">
        <v>76</v>
      </c>
      <c r="B78" s="3175" t="s">
        <v>3499</v>
      </c>
      <c r="C78" s="3176">
        <v>112.34</v>
      </c>
      <c r="D78" s="3176">
        <v>35.369999999999997</v>
      </c>
      <c r="F78" s="3177">
        <v>76</v>
      </c>
      <c r="G78" s="3175" t="s">
        <v>3477</v>
      </c>
      <c r="H78" s="3178">
        <v>-1023</v>
      </c>
      <c r="I78" s="3179">
        <v>9.49</v>
      </c>
      <c r="J78" s="3179">
        <v>2.99</v>
      </c>
      <c r="L78" s="3177">
        <v>76</v>
      </c>
      <c r="M78" s="3175">
        <v>-100595</v>
      </c>
      <c r="N78" s="3175" t="s">
        <v>3423</v>
      </c>
      <c r="O78" s="3176">
        <v>23.43</v>
      </c>
      <c r="P78" s="3176">
        <v>7.38</v>
      </c>
    </row>
    <row r="79" spans="1:16" ht="15" thickBot="1">
      <c r="A79" s="3174">
        <v>77</v>
      </c>
      <c r="B79" s="3175" t="s">
        <v>3500</v>
      </c>
      <c r="C79" s="3176">
        <v>89.17</v>
      </c>
      <c r="D79" s="3176">
        <v>28.07</v>
      </c>
      <c r="F79" s="3177">
        <v>77</v>
      </c>
      <c r="G79" s="3175" t="s">
        <v>3477</v>
      </c>
      <c r="H79" s="3178">
        <v>-1024</v>
      </c>
      <c r="I79" s="3179">
        <v>9.49</v>
      </c>
      <c r="J79" s="3179">
        <v>2.99</v>
      </c>
      <c r="L79" s="3177">
        <v>77</v>
      </c>
      <c r="M79" s="3175">
        <v>-100596</v>
      </c>
      <c r="N79" s="3175" t="s">
        <v>3423</v>
      </c>
      <c r="O79" s="3176">
        <v>23.43</v>
      </c>
      <c r="P79" s="3176">
        <v>7.38</v>
      </c>
    </row>
    <row r="80" spans="1:16" ht="15" thickBot="1">
      <c r="A80" s="3174">
        <v>78</v>
      </c>
      <c r="B80" s="3175" t="s">
        <v>3501</v>
      </c>
      <c r="C80" s="3176">
        <v>88.89</v>
      </c>
      <c r="D80" s="3176">
        <v>27.99</v>
      </c>
      <c r="F80" s="3177">
        <v>78</v>
      </c>
      <c r="G80" s="3175" t="s">
        <v>3477</v>
      </c>
      <c r="H80" s="3178">
        <v>-1025</v>
      </c>
      <c r="I80" s="3179">
        <v>9.49</v>
      </c>
      <c r="J80" s="3179">
        <v>2.99</v>
      </c>
      <c r="L80" s="3177">
        <v>78</v>
      </c>
      <c r="M80" s="3175">
        <v>-100597</v>
      </c>
      <c r="N80" s="3175" t="s">
        <v>3423</v>
      </c>
      <c r="O80" s="3176">
        <v>23.43</v>
      </c>
      <c r="P80" s="3176">
        <v>7.38</v>
      </c>
    </row>
    <row r="81" spans="1:16" ht="15" thickBot="1">
      <c r="A81" s="3174">
        <v>79</v>
      </c>
      <c r="B81" s="3175" t="s">
        <v>3502</v>
      </c>
      <c r="C81" s="3176">
        <v>88.89</v>
      </c>
      <c r="D81" s="3176">
        <v>27.99</v>
      </c>
      <c r="F81" s="3177">
        <v>79</v>
      </c>
      <c r="G81" s="3175" t="s">
        <v>3503</v>
      </c>
      <c r="H81" s="3178">
        <v>-1001</v>
      </c>
      <c r="I81" s="3179">
        <v>11.8</v>
      </c>
      <c r="J81" s="3179">
        <v>3.72</v>
      </c>
      <c r="L81" s="3177">
        <v>79</v>
      </c>
      <c r="M81" s="3175">
        <v>-100598</v>
      </c>
      <c r="N81" s="3175" t="s">
        <v>3423</v>
      </c>
      <c r="O81" s="3176">
        <v>23.43</v>
      </c>
      <c r="P81" s="3176">
        <v>7.38</v>
      </c>
    </row>
    <row r="82" spans="1:16" ht="15" thickBot="1">
      <c r="A82" s="3174">
        <v>80</v>
      </c>
      <c r="B82" s="3175" t="s">
        <v>3504</v>
      </c>
      <c r="C82" s="3176">
        <v>112.34</v>
      </c>
      <c r="D82" s="3176">
        <v>35.369999999999997</v>
      </c>
      <c r="F82" s="3177">
        <v>80</v>
      </c>
      <c r="G82" s="3175" t="s">
        <v>3503</v>
      </c>
      <c r="H82" s="3178">
        <v>-1002</v>
      </c>
      <c r="I82" s="3179">
        <v>11.98</v>
      </c>
      <c r="J82" s="3179">
        <v>3.77</v>
      </c>
      <c r="L82" s="3177">
        <v>80</v>
      </c>
      <c r="M82" s="3175">
        <v>-100599</v>
      </c>
      <c r="N82" s="3175" t="s">
        <v>3423</v>
      </c>
      <c r="O82" s="3176">
        <v>23.43</v>
      </c>
      <c r="P82" s="3176">
        <v>7.38</v>
      </c>
    </row>
    <row r="83" spans="1:16" ht="15" thickBot="1">
      <c r="A83" s="3174">
        <v>81</v>
      </c>
      <c r="B83" s="3175" t="s">
        <v>3505</v>
      </c>
      <c r="C83" s="3176">
        <v>89.17</v>
      </c>
      <c r="D83" s="3176">
        <v>28.07</v>
      </c>
      <c r="F83" s="3177">
        <v>81</v>
      </c>
      <c r="G83" s="3175" t="s">
        <v>3503</v>
      </c>
      <c r="H83" s="3178">
        <v>-1003</v>
      </c>
      <c r="I83" s="3179">
        <v>14.35</v>
      </c>
      <c r="J83" s="3179">
        <v>4.5199999999999996</v>
      </c>
      <c r="L83" s="3177">
        <v>81</v>
      </c>
      <c r="M83" s="3175">
        <v>-10060</v>
      </c>
      <c r="N83" s="3175" t="s">
        <v>3423</v>
      </c>
      <c r="O83" s="3176">
        <v>23.43</v>
      </c>
      <c r="P83" s="3176">
        <v>7.38</v>
      </c>
    </row>
    <row r="84" spans="1:16" ht="15" thickBot="1">
      <c r="A84" s="3174">
        <v>82</v>
      </c>
      <c r="B84" s="3175" t="s">
        <v>3506</v>
      </c>
      <c r="C84" s="3176">
        <v>88.89</v>
      </c>
      <c r="D84" s="3176">
        <v>27.99</v>
      </c>
      <c r="F84" s="3177">
        <v>82</v>
      </c>
      <c r="G84" s="3175" t="s">
        <v>3503</v>
      </c>
      <c r="H84" s="3178">
        <v>-1004</v>
      </c>
      <c r="I84" s="3179">
        <v>19.45</v>
      </c>
      <c r="J84" s="3179">
        <v>6.12</v>
      </c>
      <c r="L84" s="3177">
        <v>82</v>
      </c>
      <c r="M84" s="3175">
        <v>-100600</v>
      </c>
      <c r="N84" s="3175" t="s">
        <v>3423</v>
      </c>
      <c r="O84" s="3176">
        <v>23.43</v>
      </c>
      <c r="P84" s="3176">
        <v>7.38</v>
      </c>
    </row>
    <row r="85" spans="1:16" ht="15" thickBot="1">
      <c r="A85" s="3174">
        <v>83</v>
      </c>
      <c r="B85" s="3175" t="s">
        <v>3507</v>
      </c>
      <c r="C85" s="3176">
        <v>88.89</v>
      </c>
      <c r="D85" s="3176">
        <v>27.99</v>
      </c>
      <c r="F85" s="3177">
        <v>83</v>
      </c>
      <c r="G85" s="3175" t="s">
        <v>3503</v>
      </c>
      <c r="H85" s="3178">
        <v>-1005</v>
      </c>
      <c r="I85" s="3179">
        <v>9.18</v>
      </c>
      <c r="J85" s="3179">
        <v>2.89</v>
      </c>
      <c r="L85" s="3177">
        <v>83</v>
      </c>
      <c r="M85" s="3175">
        <v>-100601</v>
      </c>
      <c r="N85" s="3175" t="s">
        <v>3423</v>
      </c>
      <c r="O85" s="3176">
        <v>23.43</v>
      </c>
      <c r="P85" s="3176">
        <v>7.38</v>
      </c>
    </row>
    <row r="86" spans="1:16" ht="15" thickBot="1">
      <c r="A86" s="3174">
        <v>84</v>
      </c>
      <c r="B86" s="3175" t="s">
        <v>3508</v>
      </c>
      <c r="C86" s="3176">
        <v>112.34</v>
      </c>
      <c r="D86" s="3176">
        <v>35.369999999999997</v>
      </c>
      <c r="F86" s="3177">
        <v>84</v>
      </c>
      <c r="G86" s="3175" t="s">
        <v>3503</v>
      </c>
      <c r="H86" s="3178">
        <v>-1006</v>
      </c>
      <c r="I86" s="3179">
        <v>9.18</v>
      </c>
      <c r="J86" s="3179">
        <v>2.89</v>
      </c>
      <c r="L86" s="3177">
        <v>84</v>
      </c>
      <c r="M86" s="3175">
        <v>-100602</v>
      </c>
      <c r="N86" s="3175" t="s">
        <v>3423</v>
      </c>
      <c r="O86" s="3176">
        <v>23.43</v>
      </c>
      <c r="P86" s="3176">
        <v>7.38</v>
      </c>
    </row>
    <row r="87" spans="1:16" ht="15" thickBot="1">
      <c r="A87" s="3174">
        <v>85</v>
      </c>
      <c r="B87" s="3175" t="s">
        <v>3509</v>
      </c>
      <c r="C87" s="3176">
        <v>112.34</v>
      </c>
      <c r="D87" s="3176">
        <v>35.369999999999997</v>
      </c>
      <c r="F87" s="3177">
        <v>85</v>
      </c>
      <c r="G87" s="3175" t="s">
        <v>3503</v>
      </c>
      <c r="H87" s="3178">
        <v>-1007</v>
      </c>
      <c r="I87" s="3179">
        <v>11.98</v>
      </c>
      <c r="J87" s="3179">
        <v>3.77</v>
      </c>
      <c r="L87" s="3177">
        <v>85</v>
      </c>
      <c r="M87" s="3175">
        <v>-100603</v>
      </c>
      <c r="N87" s="3175" t="s">
        <v>3423</v>
      </c>
      <c r="O87" s="3176">
        <v>23.43</v>
      </c>
      <c r="P87" s="3176">
        <v>7.38</v>
      </c>
    </row>
    <row r="88" spans="1:16" ht="15" thickBot="1">
      <c r="A88" s="3174">
        <v>86</v>
      </c>
      <c r="B88" s="3175" t="s">
        <v>3510</v>
      </c>
      <c r="C88" s="3176">
        <v>88.89</v>
      </c>
      <c r="D88" s="3176">
        <v>27.99</v>
      </c>
      <c r="F88" s="3177">
        <v>86</v>
      </c>
      <c r="G88" s="3175" t="s">
        <v>3503</v>
      </c>
      <c r="H88" s="3178">
        <v>-1008</v>
      </c>
      <c r="I88" s="3179">
        <v>14.04</v>
      </c>
      <c r="J88" s="3179">
        <v>4.42</v>
      </c>
      <c r="L88" s="3177">
        <v>86</v>
      </c>
      <c r="M88" s="3175">
        <v>-100604</v>
      </c>
      <c r="N88" s="3175" t="s">
        <v>3423</v>
      </c>
      <c r="O88" s="3176">
        <v>23.43</v>
      </c>
      <c r="P88" s="3176">
        <v>7.38</v>
      </c>
    </row>
    <row r="89" spans="1:16" ht="15" thickBot="1">
      <c r="A89" s="3174">
        <v>87</v>
      </c>
      <c r="B89" s="3175" t="s">
        <v>3511</v>
      </c>
      <c r="C89" s="3176">
        <v>88.89</v>
      </c>
      <c r="D89" s="3176">
        <v>27.99</v>
      </c>
      <c r="F89" s="3177">
        <v>87</v>
      </c>
      <c r="G89" s="3175" t="s">
        <v>3503</v>
      </c>
      <c r="H89" s="3178">
        <v>-1009</v>
      </c>
      <c r="I89" s="3179">
        <v>14.46</v>
      </c>
      <c r="J89" s="3179">
        <v>4.55</v>
      </c>
      <c r="L89" s="3177">
        <v>87</v>
      </c>
      <c r="M89" s="3175">
        <v>-100605</v>
      </c>
      <c r="N89" s="3175" t="s">
        <v>3423</v>
      </c>
      <c r="O89" s="3176">
        <v>23.43</v>
      </c>
      <c r="P89" s="3176">
        <v>7.38</v>
      </c>
    </row>
    <row r="90" spans="1:16" ht="15" thickBot="1">
      <c r="A90" s="3174">
        <v>88</v>
      </c>
      <c r="B90" s="3175" t="s">
        <v>3512</v>
      </c>
      <c r="C90" s="3176">
        <v>89.17</v>
      </c>
      <c r="D90" s="3176">
        <v>28.07</v>
      </c>
      <c r="F90" s="3177">
        <v>88</v>
      </c>
      <c r="G90" s="3175" t="s">
        <v>3503</v>
      </c>
      <c r="H90" s="3178">
        <v>-1010</v>
      </c>
      <c r="I90" s="3179">
        <v>13.64</v>
      </c>
      <c r="J90" s="3179">
        <v>4.29</v>
      </c>
      <c r="L90" s="3177">
        <v>88</v>
      </c>
      <c r="M90" s="3175">
        <v>-10061</v>
      </c>
      <c r="N90" s="3175" t="s">
        <v>3423</v>
      </c>
      <c r="O90" s="3176">
        <v>23.43</v>
      </c>
      <c r="P90" s="3176">
        <v>7.38</v>
      </c>
    </row>
    <row r="91" spans="1:16" ht="15" thickBot="1">
      <c r="A91" s="3174">
        <v>89</v>
      </c>
      <c r="B91" s="3175" t="s">
        <v>3513</v>
      </c>
      <c r="C91" s="3176">
        <v>112.34</v>
      </c>
      <c r="D91" s="3176">
        <v>35.369999999999997</v>
      </c>
      <c r="F91" s="3177">
        <v>89</v>
      </c>
      <c r="G91" s="3175" t="s">
        <v>3503</v>
      </c>
      <c r="H91" s="3178">
        <v>-1011</v>
      </c>
      <c r="I91" s="3179">
        <v>13.64</v>
      </c>
      <c r="J91" s="3179">
        <v>4.29</v>
      </c>
      <c r="L91" s="3177">
        <v>89</v>
      </c>
      <c r="M91" s="3175">
        <v>-10062</v>
      </c>
      <c r="N91" s="3175" t="s">
        <v>3423</v>
      </c>
      <c r="O91" s="3176">
        <v>23.43</v>
      </c>
      <c r="P91" s="3176">
        <v>7.38</v>
      </c>
    </row>
    <row r="92" spans="1:16" ht="15" thickBot="1">
      <c r="A92" s="3174">
        <v>90</v>
      </c>
      <c r="B92" s="3175" t="s">
        <v>3514</v>
      </c>
      <c r="C92" s="3176">
        <v>88.89</v>
      </c>
      <c r="D92" s="3176">
        <v>27.99</v>
      </c>
      <c r="F92" s="3177">
        <v>90</v>
      </c>
      <c r="G92" s="3175" t="s">
        <v>3503</v>
      </c>
      <c r="H92" s="3178">
        <v>-1012</v>
      </c>
      <c r="I92" s="3179">
        <v>12.29</v>
      </c>
      <c r="J92" s="3179">
        <v>3.87</v>
      </c>
      <c r="L92" s="3177">
        <v>90</v>
      </c>
      <c r="M92" s="3175">
        <v>-10063</v>
      </c>
      <c r="N92" s="3175" t="s">
        <v>3423</v>
      </c>
      <c r="O92" s="3176">
        <v>23.43</v>
      </c>
      <c r="P92" s="3176">
        <v>7.38</v>
      </c>
    </row>
    <row r="93" spans="1:16" ht="15" thickBot="1">
      <c r="A93" s="3174">
        <v>91</v>
      </c>
      <c r="B93" s="3175" t="s">
        <v>3515</v>
      </c>
      <c r="C93" s="3176">
        <v>88.89</v>
      </c>
      <c r="D93" s="3176">
        <v>27.99</v>
      </c>
      <c r="F93" s="3177">
        <v>91</v>
      </c>
      <c r="G93" s="3175" t="s">
        <v>3503</v>
      </c>
      <c r="H93" s="3178">
        <v>-1013</v>
      </c>
      <c r="I93" s="3179">
        <v>12.29</v>
      </c>
      <c r="J93" s="3179">
        <v>3.87</v>
      </c>
      <c r="L93" s="3177">
        <v>91</v>
      </c>
      <c r="M93" s="3175">
        <v>-10064</v>
      </c>
      <c r="N93" s="3175" t="s">
        <v>3423</v>
      </c>
      <c r="O93" s="3176">
        <v>23.43</v>
      </c>
      <c r="P93" s="3176">
        <v>7.38</v>
      </c>
    </row>
    <row r="94" spans="1:16" ht="15" thickBot="1">
      <c r="A94" s="3174">
        <v>92</v>
      </c>
      <c r="B94" s="3175" t="s">
        <v>3516</v>
      </c>
      <c r="C94" s="3176">
        <v>89.17</v>
      </c>
      <c r="D94" s="3176">
        <v>28.07</v>
      </c>
      <c r="F94" s="3177">
        <v>92</v>
      </c>
      <c r="G94" s="3175" t="s">
        <v>3503</v>
      </c>
      <c r="H94" s="3178">
        <v>-1014</v>
      </c>
      <c r="I94" s="3179">
        <v>13.64</v>
      </c>
      <c r="J94" s="3179">
        <v>4.29</v>
      </c>
      <c r="L94" s="3177">
        <v>92</v>
      </c>
      <c r="M94" s="3175">
        <v>-10065</v>
      </c>
      <c r="N94" s="3175" t="s">
        <v>3423</v>
      </c>
      <c r="O94" s="3176">
        <v>23.43</v>
      </c>
      <c r="P94" s="3176">
        <v>7.38</v>
      </c>
    </row>
    <row r="95" spans="1:16" ht="15" thickBot="1">
      <c r="A95" s="3174">
        <v>93</v>
      </c>
      <c r="B95" s="3175" t="s">
        <v>3517</v>
      </c>
      <c r="C95" s="3176">
        <v>112.34</v>
      </c>
      <c r="D95" s="3176">
        <v>35.369999999999997</v>
      </c>
      <c r="F95" s="3177">
        <v>93</v>
      </c>
      <c r="G95" s="3175" t="s">
        <v>3503</v>
      </c>
      <c r="H95" s="3178">
        <v>-1015</v>
      </c>
      <c r="I95" s="3179">
        <v>13.64</v>
      </c>
      <c r="J95" s="3179">
        <v>4.29</v>
      </c>
      <c r="L95" s="3177">
        <v>93</v>
      </c>
      <c r="M95" s="3175">
        <v>-10066</v>
      </c>
      <c r="N95" s="3175" t="s">
        <v>3423</v>
      </c>
      <c r="O95" s="3176">
        <v>23.43</v>
      </c>
      <c r="P95" s="3176">
        <v>7.38</v>
      </c>
    </row>
    <row r="96" spans="1:16" ht="15" thickBot="1">
      <c r="A96" s="3174">
        <v>94</v>
      </c>
      <c r="B96" s="3175" t="s">
        <v>3518</v>
      </c>
      <c r="C96" s="3176">
        <v>88.89</v>
      </c>
      <c r="D96" s="3176">
        <v>27.99</v>
      </c>
      <c r="F96" s="3177">
        <v>94</v>
      </c>
      <c r="G96" s="3175" t="s">
        <v>3503</v>
      </c>
      <c r="H96" s="3178">
        <v>-1016</v>
      </c>
      <c r="I96" s="3179">
        <v>16.940000000000001</v>
      </c>
      <c r="J96" s="3179">
        <v>5.33</v>
      </c>
      <c r="L96" s="3177">
        <v>94</v>
      </c>
      <c r="M96" s="3175">
        <v>-10067</v>
      </c>
      <c r="N96" s="3175" t="s">
        <v>3423</v>
      </c>
      <c r="O96" s="3176">
        <v>23.43</v>
      </c>
      <c r="P96" s="3176">
        <v>7.38</v>
      </c>
    </row>
    <row r="97" spans="1:16" ht="15" thickBot="1">
      <c r="A97" s="3174">
        <v>95</v>
      </c>
      <c r="B97" s="3175" t="s">
        <v>3519</v>
      </c>
      <c r="C97" s="3176">
        <v>88.89</v>
      </c>
      <c r="D97" s="3176">
        <v>27.99</v>
      </c>
      <c r="F97" s="3177">
        <v>95</v>
      </c>
      <c r="G97" s="3175" t="s">
        <v>3503</v>
      </c>
      <c r="H97" s="3178">
        <v>-1017</v>
      </c>
      <c r="I97" s="3179">
        <v>12.73</v>
      </c>
      <c r="J97" s="3179">
        <v>4.01</v>
      </c>
      <c r="L97" s="3177">
        <v>95</v>
      </c>
      <c r="M97" s="3175">
        <v>-10068</v>
      </c>
      <c r="N97" s="3175" t="s">
        <v>3423</v>
      </c>
      <c r="O97" s="3176">
        <v>23.43</v>
      </c>
      <c r="P97" s="3176">
        <v>7.38</v>
      </c>
    </row>
    <row r="98" spans="1:16" ht="15" thickBot="1">
      <c r="A98" s="3174">
        <v>96</v>
      </c>
      <c r="B98" s="3175" t="s">
        <v>3520</v>
      </c>
      <c r="C98" s="3176">
        <v>89.17</v>
      </c>
      <c r="D98" s="3176">
        <v>28.07</v>
      </c>
      <c r="F98" s="3177">
        <v>96</v>
      </c>
      <c r="G98" s="3175" t="s">
        <v>3503</v>
      </c>
      <c r="H98" s="3178">
        <v>-1018</v>
      </c>
      <c r="I98" s="3179">
        <v>11.24</v>
      </c>
      <c r="J98" s="3179">
        <v>3.54</v>
      </c>
      <c r="L98" s="3177">
        <v>96</v>
      </c>
      <c r="M98" s="3175">
        <v>-10069</v>
      </c>
      <c r="N98" s="3175" t="s">
        <v>3423</v>
      </c>
      <c r="O98" s="3176">
        <v>23.43</v>
      </c>
      <c r="P98" s="3176">
        <v>7.38</v>
      </c>
    </row>
    <row r="99" spans="1:16" ht="15" thickBot="1">
      <c r="A99" s="3174">
        <v>97</v>
      </c>
      <c r="B99" s="3175" t="s">
        <v>3521</v>
      </c>
      <c r="C99" s="3176">
        <v>89.7</v>
      </c>
      <c r="D99" s="3176">
        <v>28.24</v>
      </c>
      <c r="F99" s="3177">
        <v>97</v>
      </c>
      <c r="G99" s="3175" t="s">
        <v>3503</v>
      </c>
      <c r="H99" s="3178">
        <v>-1019</v>
      </c>
      <c r="I99" s="3179">
        <v>12.18</v>
      </c>
      <c r="J99" s="3179">
        <v>3.83</v>
      </c>
      <c r="L99" s="3177">
        <v>97</v>
      </c>
      <c r="M99" s="3175">
        <v>-10070</v>
      </c>
      <c r="N99" s="3175" t="s">
        <v>3423</v>
      </c>
      <c r="O99" s="3176">
        <v>23.43</v>
      </c>
      <c r="P99" s="3176">
        <v>7.38</v>
      </c>
    </row>
    <row r="100" spans="1:16" ht="15" thickBot="1">
      <c r="A100" s="3174">
        <v>98</v>
      </c>
      <c r="B100" s="3175" t="s">
        <v>3522</v>
      </c>
      <c r="C100" s="3176">
        <v>89.42</v>
      </c>
      <c r="D100" s="3176">
        <v>28.15</v>
      </c>
      <c r="F100" s="3177">
        <v>98</v>
      </c>
      <c r="G100" s="3175" t="s">
        <v>3503</v>
      </c>
      <c r="H100" s="3178">
        <v>-1020</v>
      </c>
      <c r="I100" s="3179">
        <v>12.35</v>
      </c>
      <c r="J100" s="3179">
        <v>3.89</v>
      </c>
      <c r="L100" s="3177">
        <v>98</v>
      </c>
      <c r="M100" s="3175">
        <v>-10071</v>
      </c>
      <c r="N100" s="3175" t="s">
        <v>3423</v>
      </c>
      <c r="O100" s="3176">
        <v>23.43</v>
      </c>
      <c r="P100" s="3176">
        <v>7.38</v>
      </c>
    </row>
    <row r="101" spans="1:16" ht="15" thickBot="1">
      <c r="A101" s="3174">
        <v>99</v>
      </c>
      <c r="B101" s="3175" t="s">
        <v>3523</v>
      </c>
      <c r="C101" s="3176">
        <v>89.42</v>
      </c>
      <c r="D101" s="3176">
        <v>28.15</v>
      </c>
      <c r="F101" s="3177">
        <v>99</v>
      </c>
      <c r="G101" s="3175" t="s">
        <v>3503</v>
      </c>
      <c r="H101" s="3178">
        <v>-1021</v>
      </c>
      <c r="I101" s="3179">
        <v>14.35</v>
      </c>
      <c r="J101" s="3179">
        <v>4.5199999999999996</v>
      </c>
      <c r="L101" s="3177">
        <v>99</v>
      </c>
      <c r="M101" s="3175">
        <v>-10072</v>
      </c>
      <c r="N101" s="3175" t="s">
        <v>3423</v>
      </c>
      <c r="O101" s="3176">
        <v>23.43</v>
      </c>
      <c r="P101" s="3176">
        <v>7.38</v>
      </c>
    </row>
    <row r="102" spans="1:16" ht="15" thickBot="1">
      <c r="A102" s="3174">
        <v>100</v>
      </c>
      <c r="B102" s="3175" t="s">
        <v>3524</v>
      </c>
      <c r="C102" s="3176">
        <v>113.63</v>
      </c>
      <c r="D102" s="3176">
        <v>35.78</v>
      </c>
      <c r="F102" s="3177">
        <v>100</v>
      </c>
      <c r="G102" s="3175" t="s">
        <v>3503</v>
      </c>
      <c r="H102" s="3178">
        <v>-1022</v>
      </c>
      <c r="I102" s="3179">
        <v>19.45</v>
      </c>
      <c r="J102" s="3179">
        <v>6.12</v>
      </c>
      <c r="L102" s="3177">
        <v>100</v>
      </c>
      <c r="M102" s="3175">
        <v>-10073</v>
      </c>
      <c r="N102" s="3175" t="s">
        <v>3423</v>
      </c>
      <c r="O102" s="3176">
        <v>23.43</v>
      </c>
      <c r="P102" s="3176">
        <v>7.38</v>
      </c>
    </row>
    <row r="103" spans="1:16" ht="15" thickBot="1">
      <c r="A103" s="3174">
        <v>101</v>
      </c>
      <c r="B103" s="3175" t="s">
        <v>3525</v>
      </c>
      <c r="C103" s="3176">
        <v>89.7</v>
      </c>
      <c r="D103" s="3176">
        <v>28.24</v>
      </c>
      <c r="F103" s="3177">
        <v>101</v>
      </c>
      <c r="G103" s="3175" t="s">
        <v>3503</v>
      </c>
      <c r="H103" s="3178">
        <v>-1023</v>
      </c>
      <c r="I103" s="3179">
        <v>9.18</v>
      </c>
      <c r="J103" s="3179">
        <v>2.89</v>
      </c>
      <c r="L103" s="3177">
        <v>101</v>
      </c>
      <c r="M103" s="3175">
        <v>-10074</v>
      </c>
      <c r="N103" s="3175" t="s">
        <v>3423</v>
      </c>
      <c r="O103" s="3176">
        <v>23.43</v>
      </c>
      <c r="P103" s="3176">
        <v>7.38</v>
      </c>
    </row>
    <row r="104" spans="1:16" ht="15" thickBot="1">
      <c r="A104" s="3174">
        <v>102</v>
      </c>
      <c r="B104" s="3175" t="s">
        <v>3526</v>
      </c>
      <c r="C104" s="3176">
        <v>89.42</v>
      </c>
      <c r="D104" s="3176">
        <v>28.15</v>
      </c>
      <c r="F104" s="3177">
        <v>102</v>
      </c>
      <c r="G104" s="3175" t="s">
        <v>3503</v>
      </c>
      <c r="H104" s="3178">
        <v>-1024</v>
      </c>
      <c r="I104" s="3179">
        <v>9.18</v>
      </c>
      <c r="J104" s="3179">
        <v>2.89</v>
      </c>
      <c r="L104" s="3177">
        <v>102</v>
      </c>
      <c r="M104" s="3175">
        <v>-10075</v>
      </c>
      <c r="N104" s="3175" t="s">
        <v>3423</v>
      </c>
      <c r="O104" s="3176">
        <v>23.43</v>
      </c>
      <c r="P104" s="3176">
        <v>7.38</v>
      </c>
    </row>
    <row r="105" spans="1:16" ht="15" thickBot="1">
      <c r="A105" s="3174">
        <v>103</v>
      </c>
      <c r="B105" s="3175" t="s">
        <v>3527</v>
      </c>
      <c r="C105" s="3176">
        <v>89.42</v>
      </c>
      <c r="D105" s="3176">
        <v>28.15</v>
      </c>
      <c r="F105" s="3177">
        <v>103</v>
      </c>
      <c r="G105" s="3175" t="s">
        <v>3503</v>
      </c>
      <c r="H105" s="3178">
        <v>-1025</v>
      </c>
      <c r="I105" s="3179">
        <v>10.49</v>
      </c>
      <c r="J105" s="3179">
        <v>3.3</v>
      </c>
      <c r="L105" s="3177">
        <v>103</v>
      </c>
      <c r="M105" s="3175">
        <v>-10076</v>
      </c>
      <c r="N105" s="3175" t="s">
        <v>3423</v>
      </c>
      <c r="O105" s="3176">
        <v>23.43</v>
      </c>
      <c r="P105" s="3176">
        <v>7.38</v>
      </c>
    </row>
    <row r="106" spans="1:16" ht="15" thickBot="1">
      <c r="A106" s="3174">
        <v>104</v>
      </c>
      <c r="B106" s="3175" t="s">
        <v>3528</v>
      </c>
      <c r="C106" s="3176">
        <v>113.63</v>
      </c>
      <c r="D106" s="3176">
        <v>35.78</v>
      </c>
      <c r="F106" s="3177">
        <v>104</v>
      </c>
      <c r="G106" s="3175" t="s">
        <v>3503</v>
      </c>
      <c r="H106" s="3178">
        <v>-1026</v>
      </c>
      <c r="I106" s="3179">
        <v>10.18</v>
      </c>
      <c r="J106" s="3179">
        <v>3.21</v>
      </c>
      <c r="L106" s="3177">
        <v>104</v>
      </c>
      <c r="M106" s="3175">
        <v>-10077</v>
      </c>
      <c r="N106" s="3175" t="s">
        <v>3423</v>
      </c>
      <c r="O106" s="3176">
        <v>23.43</v>
      </c>
      <c r="P106" s="3176">
        <v>7.38</v>
      </c>
    </row>
    <row r="107" spans="1:16" ht="15" thickBot="1">
      <c r="A107" s="3174">
        <v>105</v>
      </c>
      <c r="B107" s="3175" t="s">
        <v>3529</v>
      </c>
      <c r="C107" s="3176">
        <v>89.7</v>
      </c>
      <c r="D107" s="3176">
        <v>28.24</v>
      </c>
      <c r="F107" s="3177">
        <v>105</v>
      </c>
      <c r="G107" s="3175" t="s">
        <v>3503</v>
      </c>
      <c r="H107" s="3178">
        <v>-1027</v>
      </c>
      <c r="I107" s="3179">
        <v>10.78</v>
      </c>
      <c r="J107" s="3179">
        <v>3.39</v>
      </c>
      <c r="L107" s="3177">
        <v>105</v>
      </c>
      <c r="M107" s="3175">
        <v>-10078</v>
      </c>
      <c r="N107" s="3175" t="s">
        <v>3423</v>
      </c>
      <c r="O107" s="3176">
        <v>23.43</v>
      </c>
      <c r="P107" s="3176">
        <v>7.38</v>
      </c>
    </row>
    <row r="108" spans="1:16" ht="15" thickBot="1">
      <c r="A108" s="3174">
        <v>106</v>
      </c>
      <c r="B108" s="3175" t="s">
        <v>3530</v>
      </c>
      <c r="C108" s="3176">
        <v>89.42</v>
      </c>
      <c r="D108" s="3176">
        <v>28.15</v>
      </c>
      <c r="F108" s="3177">
        <v>106</v>
      </c>
      <c r="G108" s="3175" t="s">
        <v>3503</v>
      </c>
      <c r="H108" s="3178">
        <v>-1028</v>
      </c>
      <c r="I108" s="3179">
        <v>14.02</v>
      </c>
      <c r="J108" s="3179">
        <v>4.41</v>
      </c>
      <c r="L108" s="3177">
        <v>106</v>
      </c>
      <c r="M108" s="3175">
        <v>-10079</v>
      </c>
      <c r="N108" s="3175" t="s">
        <v>3423</v>
      </c>
      <c r="O108" s="3176">
        <v>23.43</v>
      </c>
      <c r="P108" s="3176">
        <v>7.38</v>
      </c>
    </row>
    <row r="109" spans="1:16" ht="15" thickBot="1">
      <c r="A109" s="3174">
        <v>107</v>
      </c>
      <c r="B109" s="3175" t="s">
        <v>3531</v>
      </c>
      <c r="C109" s="3176">
        <v>89.42</v>
      </c>
      <c r="D109" s="3176">
        <v>28.15</v>
      </c>
      <c r="F109" s="3177">
        <v>107</v>
      </c>
      <c r="G109" s="3175" t="s">
        <v>3503</v>
      </c>
      <c r="H109" s="3178">
        <v>-1029</v>
      </c>
      <c r="I109" s="3179">
        <v>8.52</v>
      </c>
      <c r="J109" s="3179">
        <v>2.68</v>
      </c>
      <c r="L109" s="3177">
        <v>107</v>
      </c>
      <c r="M109" s="3175">
        <v>-10080</v>
      </c>
      <c r="N109" s="3175" t="s">
        <v>3423</v>
      </c>
      <c r="O109" s="3176">
        <v>23.43</v>
      </c>
      <c r="P109" s="3176">
        <v>7.38</v>
      </c>
    </row>
    <row r="110" spans="1:16" ht="15" thickBot="1">
      <c r="A110" s="3174">
        <v>108</v>
      </c>
      <c r="B110" s="3175" t="s">
        <v>3532</v>
      </c>
      <c r="C110" s="3176">
        <v>113.63</v>
      </c>
      <c r="D110" s="3176">
        <v>35.78</v>
      </c>
      <c r="F110" s="3177">
        <v>108</v>
      </c>
      <c r="G110" s="3175" t="s">
        <v>3503</v>
      </c>
      <c r="H110" s="3178">
        <v>-1030</v>
      </c>
      <c r="I110" s="3179">
        <v>8.6300000000000008</v>
      </c>
      <c r="J110" s="3179">
        <v>2.72</v>
      </c>
      <c r="L110" s="3177">
        <v>108</v>
      </c>
      <c r="M110" s="3175">
        <v>-10081</v>
      </c>
      <c r="N110" s="3175" t="s">
        <v>3423</v>
      </c>
      <c r="O110" s="3176">
        <v>23.43</v>
      </c>
      <c r="P110" s="3176">
        <v>7.38</v>
      </c>
    </row>
    <row r="111" spans="1:16" ht="15" thickBot="1">
      <c r="A111" s="3174">
        <v>109</v>
      </c>
      <c r="B111" s="3175" t="s">
        <v>3533</v>
      </c>
      <c r="C111" s="3176">
        <v>89.61</v>
      </c>
      <c r="D111" s="3176">
        <v>28.21</v>
      </c>
      <c r="F111" s="3177">
        <v>109</v>
      </c>
      <c r="G111" s="3175" t="s">
        <v>3503</v>
      </c>
      <c r="H111" s="3178">
        <v>-1031</v>
      </c>
      <c r="I111" s="3179">
        <v>8.6300000000000008</v>
      </c>
      <c r="J111" s="3179">
        <v>2.72</v>
      </c>
      <c r="L111" s="3177">
        <v>109</v>
      </c>
      <c r="M111" s="3175">
        <v>-10082</v>
      </c>
      <c r="N111" s="3175" t="s">
        <v>3423</v>
      </c>
      <c r="O111" s="3176">
        <v>23.43</v>
      </c>
      <c r="P111" s="3176">
        <v>7.38</v>
      </c>
    </row>
    <row r="112" spans="1:16" ht="15" thickBot="1">
      <c r="A112" s="3174">
        <v>110</v>
      </c>
      <c r="B112" s="3175" t="s">
        <v>3534</v>
      </c>
      <c r="C112" s="3176">
        <v>89.33</v>
      </c>
      <c r="D112" s="3176">
        <v>28.12</v>
      </c>
      <c r="F112" s="3177">
        <v>110</v>
      </c>
      <c r="G112" s="3175" t="s">
        <v>3503</v>
      </c>
      <c r="H112" s="3178">
        <v>-1032</v>
      </c>
      <c r="I112" s="3179">
        <v>8.6300000000000008</v>
      </c>
      <c r="J112" s="3179">
        <v>2.72</v>
      </c>
      <c r="L112" s="3177">
        <v>110</v>
      </c>
      <c r="M112" s="3175">
        <v>-10083</v>
      </c>
      <c r="N112" s="3175" t="s">
        <v>3423</v>
      </c>
      <c r="O112" s="3176">
        <v>23.43</v>
      </c>
      <c r="P112" s="3176">
        <v>7.38</v>
      </c>
    </row>
    <row r="113" spans="1:16" ht="15" thickBot="1">
      <c r="A113" s="3174">
        <v>111</v>
      </c>
      <c r="B113" s="3175" t="s">
        <v>3535</v>
      </c>
      <c r="C113" s="3176">
        <v>89.33</v>
      </c>
      <c r="D113" s="3176">
        <v>28.12</v>
      </c>
      <c r="F113" s="3177">
        <v>111</v>
      </c>
      <c r="G113" s="3175" t="s">
        <v>3503</v>
      </c>
      <c r="H113" s="3178">
        <v>-1033</v>
      </c>
      <c r="I113" s="3179">
        <v>12.22</v>
      </c>
      <c r="J113" s="3179">
        <v>3.85</v>
      </c>
      <c r="L113" s="3177">
        <v>111</v>
      </c>
      <c r="M113" s="3175">
        <v>-10084</v>
      </c>
      <c r="N113" s="3175" t="s">
        <v>3423</v>
      </c>
      <c r="O113" s="3176">
        <v>23.43</v>
      </c>
      <c r="P113" s="3176">
        <v>7.38</v>
      </c>
    </row>
    <row r="114" spans="1:16" ht="15" thickBot="1">
      <c r="A114" s="3174">
        <v>112</v>
      </c>
      <c r="B114" s="3175" t="s">
        <v>3536</v>
      </c>
      <c r="C114" s="3176">
        <v>113.16</v>
      </c>
      <c r="D114" s="3176">
        <v>35.630000000000003</v>
      </c>
      <c r="F114" s="3177">
        <v>112</v>
      </c>
      <c r="G114" s="3175" t="s">
        <v>3503</v>
      </c>
      <c r="H114" s="3178">
        <v>-1034</v>
      </c>
      <c r="I114" s="3179">
        <v>12.02</v>
      </c>
      <c r="J114" s="3179">
        <v>3.78</v>
      </c>
      <c r="L114" s="3177">
        <v>112</v>
      </c>
      <c r="M114" s="3175">
        <v>-10085</v>
      </c>
      <c r="N114" s="3175" t="s">
        <v>3423</v>
      </c>
      <c r="O114" s="3176">
        <v>23.43</v>
      </c>
      <c r="P114" s="3176">
        <v>7.38</v>
      </c>
    </row>
    <row r="115" spans="1:16" ht="15" thickBot="1">
      <c r="A115" s="3174">
        <v>113</v>
      </c>
      <c r="B115" s="3175" t="s">
        <v>3537</v>
      </c>
      <c r="C115" s="3176">
        <v>89.61</v>
      </c>
      <c r="D115" s="3176">
        <v>28.21</v>
      </c>
      <c r="F115" s="3177">
        <v>113</v>
      </c>
      <c r="G115" s="3175" t="s">
        <v>3503</v>
      </c>
      <c r="H115" s="3178">
        <v>-1035</v>
      </c>
      <c r="I115" s="3179">
        <v>10.38</v>
      </c>
      <c r="J115" s="3179">
        <v>3.27</v>
      </c>
      <c r="L115" s="3177">
        <v>113</v>
      </c>
      <c r="M115" s="3175">
        <v>-10086</v>
      </c>
      <c r="N115" s="3175" t="s">
        <v>3423</v>
      </c>
      <c r="O115" s="3176">
        <v>23.43</v>
      </c>
      <c r="P115" s="3176">
        <v>7.38</v>
      </c>
    </row>
    <row r="116" spans="1:16" ht="15" thickBot="1">
      <c r="A116" s="3174">
        <v>114</v>
      </c>
      <c r="B116" s="3175" t="s">
        <v>3538</v>
      </c>
      <c r="C116" s="3176">
        <v>89.33</v>
      </c>
      <c r="D116" s="3176">
        <v>28.12</v>
      </c>
      <c r="F116" s="3177">
        <v>114</v>
      </c>
      <c r="G116" s="3175" t="s">
        <v>3503</v>
      </c>
      <c r="H116" s="3178">
        <v>-1036</v>
      </c>
      <c r="I116" s="3179">
        <v>10.38</v>
      </c>
      <c r="J116" s="3179">
        <v>3.27</v>
      </c>
      <c r="L116" s="3177">
        <v>114</v>
      </c>
      <c r="M116" s="3175">
        <v>-10087</v>
      </c>
      <c r="N116" s="3175" t="s">
        <v>3423</v>
      </c>
      <c r="O116" s="3176">
        <v>23.43</v>
      </c>
      <c r="P116" s="3176">
        <v>7.38</v>
      </c>
    </row>
    <row r="117" spans="1:16" ht="15" thickBot="1">
      <c r="A117" s="3174">
        <v>115</v>
      </c>
      <c r="B117" s="3175" t="s">
        <v>3539</v>
      </c>
      <c r="C117" s="3176">
        <v>89.33</v>
      </c>
      <c r="D117" s="3176">
        <v>28.12</v>
      </c>
      <c r="F117" s="3177">
        <v>115</v>
      </c>
      <c r="G117" s="3175" t="s">
        <v>3503</v>
      </c>
      <c r="H117" s="3178">
        <v>-1037</v>
      </c>
      <c r="I117" s="3179">
        <v>10.07</v>
      </c>
      <c r="J117" s="3179">
        <v>3.17</v>
      </c>
      <c r="L117" s="3177">
        <v>115</v>
      </c>
      <c r="M117" s="3175">
        <v>-10088</v>
      </c>
      <c r="N117" s="3175" t="s">
        <v>3423</v>
      </c>
      <c r="O117" s="3176">
        <v>23.43</v>
      </c>
      <c r="P117" s="3176">
        <v>7.38</v>
      </c>
    </row>
    <row r="118" spans="1:16" ht="15" thickBot="1">
      <c r="A118" s="3174">
        <v>116</v>
      </c>
      <c r="B118" s="3175" t="s">
        <v>3540</v>
      </c>
      <c r="C118" s="3176">
        <v>113.16</v>
      </c>
      <c r="D118" s="3176">
        <v>35.630000000000003</v>
      </c>
      <c r="F118" s="3177">
        <v>116</v>
      </c>
      <c r="G118" s="3175" t="s">
        <v>3503</v>
      </c>
      <c r="H118" s="3178">
        <v>-1038</v>
      </c>
      <c r="I118" s="3179">
        <v>15.28</v>
      </c>
      <c r="J118" s="3179">
        <v>4.8099999999999996</v>
      </c>
      <c r="L118" s="3177">
        <v>116</v>
      </c>
      <c r="M118" s="3175">
        <v>-10089</v>
      </c>
      <c r="N118" s="3175" t="s">
        <v>3423</v>
      </c>
      <c r="O118" s="3176">
        <v>23.43</v>
      </c>
      <c r="P118" s="3176">
        <v>7.38</v>
      </c>
    </row>
    <row r="119" spans="1:16" ht="15" thickBot="1">
      <c r="A119" s="3174">
        <v>117</v>
      </c>
      <c r="B119" s="3175" t="s">
        <v>3541</v>
      </c>
      <c r="C119" s="3176">
        <v>89.61</v>
      </c>
      <c r="D119" s="3176">
        <v>28.21</v>
      </c>
      <c r="F119" s="3177">
        <v>117</v>
      </c>
      <c r="G119" s="3175" t="s">
        <v>3503</v>
      </c>
      <c r="H119" s="3178">
        <v>-1039</v>
      </c>
      <c r="I119" s="3179">
        <v>15.28</v>
      </c>
      <c r="J119" s="3179">
        <v>4.8099999999999996</v>
      </c>
      <c r="L119" s="3177">
        <v>117</v>
      </c>
      <c r="M119" s="3175">
        <v>-10090</v>
      </c>
      <c r="N119" s="3175" t="s">
        <v>3423</v>
      </c>
      <c r="O119" s="3176">
        <v>23.43</v>
      </c>
      <c r="P119" s="3176">
        <v>7.38</v>
      </c>
    </row>
    <row r="120" spans="1:16" ht="15" thickBot="1">
      <c r="A120" s="3174">
        <v>118</v>
      </c>
      <c r="B120" s="3175" t="s">
        <v>3542</v>
      </c>
      <c r="C120" s="3176">
        <v>89.33</v>
      </c>
      <c r="D120" s="3176">
        <v>28.12</v>
      </c>
      <c r="F120" s="3177">
        <v>118</v>
      </c>
      <c r="G120" s="3175" t="s">
        <v>3503</v>
      </c>
      <c r="H120" s="3178">
        <v>-1040</v>
      </c>
      <c r="I120" s="3179">
        <v>15.28</v>
      </c>
      <c r="J120" s="3179">
        <v>4.8099999999999996</v>
      </c>
      <c r="L120" s="3177">
        <v>118</v>
      </c>
      <c r="M120" s="3175">
        <v>-10091</v>
      </c>
      <c r="N120" s="3175" t="s">
        <v>3423</v>
      </c>
      <c r="O120" s="3176">
        <v>23.43</v>
      </c>
      <c r="P120" s="3176">
        <v>7.38</v>
      </c>
    </row>
    <row r="121" spans="1:16" ht="15" thickBot="1">
      <c r="A121" s="3174">
        <v>119</v>
      </c>
      <c r="B121" s="3175" t="s">
        <v>3543</v>
      </c>
      <c r="C121" s="3176">
        <v>89.33</v>
      </c>
      <c r="D121" s="3176">
        <v>28.12</v>
      </c>
      <c r="F121" s="3177">
        <v>119</v>
      </c>
      <c r="G121" s="3175" t="s">
        <v>3503</v>
      </c>
      <c r="H121" s="3178">
        <v>-1041</v>
      </c>
      <c r="I121" s="3179">
        <v>15.28</v>
      </c>
      <c r="J121" s="3179">
        <v>4.8099999999999996</v>
      </c>
      <c r="L121" s="3177">
        <v>119</v>
      </c>
      <c r="M121" s="3175">
        <v>-10092</v>
      </c>
      <c r="N121" s="3175" t="s">
        <v>3423</v>
      </c>
      <c r="O121" s="3176">
        <v>23.43</v>
      </c>
      <c r="P121" s="3176">
        <v>7.38</v>
      </c>
    </row>
    <row r="122" spans="1:16" ht="15" thickBot="1">
      <c r="A122" s="3174">
        <v>120</v>
      </c>
      <c r="B122" s="3175" t="s">
        <v>3544</v>
      </c>
      <c r="C122" s="3176">
        <v>113.16</v>
      </c>
      <c r="D122" s="3176">
        <v>35.630000000000003</v>
      </c>
      <c r="F122" s="3177">
        <v>120</v>
      </c>
      <c r="G122" s="3175" t="s">
        <v>3503</v>
      </c>
      <c r="H122" s="3178">
        <v>-1042</v>
      </c>
      <c r="I122" s="3179">
        <v>10.98</v>
      </c>
      <c r="J122" s="3179">
        <v>3.46</v>
      </c>
      <c r="L122" s="3177">
        <v>120</v>
      </c>
      <c r="M122" s="3175">
        <v>-10093</v>
      </c>
      <c r="N122" s="3175" t="s">
        <v>3423</v>
      </c>
      <c r="O122" s="3176">
        <v>23.43</v>
      </c>
      <c r="P122" s="3176">
        <v>7.38</v>
      </c>
    </row>
    <row r="123" spans="1:16" ht="15" thickBot="1">
      <c r="A123" s="3174">
        <v>121</v>
      </c>
      <c r="B123" s="3175" t="s">
        <v>3545</v>
      </c>
      <c r="C123" s="3176">
        <v>113.05</v>
      </c>
      <c r="D123" s="3176">
        <v>35.590000000000003</v>
      </c>
      <c r="F123" s="3177">
        <v>121</v>
      </c>
      <c r="G123" s="3175" t="s">
        <v>3503</v>
      </c>
      <c r="H123" s="3178">
        <v>-1043</v>
      </c>
      <c r="I123" s="3179">
        <v>10.38</v>
      </c>
      <c r="J123" s="3179">
        <v>3.27</v>
      </c>
      <c r="L123" s="3177">
        <v>121</v>
      </c>
      <c r="M123" s="3175">
        <v>-10094</v>
      </c>
      <c r="N123" s="3175" t="s">
        <v>3423</v>
      </c>
      <c r="O123" s="3176">
        <v>23.43</v>
      </c>
      <c r="P123" s="3176">
        <v>7.38</v>
      </c>
    </row>
    <row r="124" spans="1:16" ht="15" thickBot="1">
      <c r="A124" s="3174">
        <v>122</v>
      </c>
      <c r="B124" s="3175" t="s">
        <v>3546</v>
      </c>
      <c r="C124" s="3176">
        <v>89.33</v>
      </c>
      <c r="D124" s="3176">
        <v>28.12</v>
      </c>
      <c r="F124" s="3177">
        <v>122</v>
      </c>
      <c r="G124" s="3175" t="s">
        <v>3503</v>
      </c>
      <c r="H124" s="3178">
        <v>-1044</v>
      </c>
      <c r="I124" s="3179">
        <v>10.67</v>
      </c>
      <c r="J124" s="3179">
        <v>3.36</v>
      </c>
      <c r="L124" s="3177">
        <v>122</v>
      </c>
      <c r="M124" s="3175">
        <v>-10095</v>
      </c>
      <c r="N124" s="3175" t="s">
        <v>3423</v>
      </c>
      <c r="O124" s="3176">
        <v>23.43</v>
      </c>
      <c r="P124" s="3176">
        <v>7.38</v>
      </c>
    </row>
    <row r="125" spans="1:16" ht="15" thickBot="1">
      <c r="A125" s="3174">
        <v>123</v>
      </c>
      <c r="B125" s="3175" t="s">
        <v>3547</v>
      </c>
      <c r="C125" s="3176">
        <v>89.33</v>
      </c>
      <c r="D125" s="3176">
        <v>28.12</v>
      </c>
      <c r="F125" s="3177">
        <v>123</v>
      </c>
      <c r="G125" s="3175" t="s">
        <v>3503</v>
      </c>
      <c r="H125" s="3178">
        <v>-1045</v>
      </c>
      <c r="I125" s="3179">
        <v>12.35</v>
      </c>
      <c r="J125" s="3179">
        <v>3.89</v>
      </c>
      <c r="L125" s="3177">
        <v>123</v>
      </c>
      <c r="M125" s="3175">
        <v>-10096</v>
      </c>
      <c r="N125" s="3175" t="s">
        <v>3423</v>
      </c>
      <c r="O125" s="3176">
        <v>23.43</v>
      </c>
      <c r="P125" s="3176">
        <v>7.38</v>
      </c>
    </row>
    <row r="126" spans="1:16" ht="15" thickBot="1">
      <c r="A126" s="3174">
        <v>124</v>
      </c>
      <c r="B126" s="3175" t="s">
        <v>3548</v>
      </c>
      <c r="C126" s="3176">
        <v>89.61</v>
      </c>
      <c r="D126" s="3176">
        <v>28.21</v>
      </c>
      <c r="F126" s="3177">
        <v>124</v>
      </c>
      <c r="G126" s="3175" t="s">
        <v>3503</v>
      </c>
      <c r="H126" s="3178">
        <v>-1046</v>
      </c>
      <c r="I126" s="3179">
        <v>12.55</v>
      </c>
      <c r="J126" s="3179">
        <v>3.95</v>
      </c>
      <c r="L126" s="3177">
        <v>124</v>
      </c>
      <c r="M126" s="3175">
        <v>-10097</v>
      </c>
      <c r="N126" s="3175" t="s">
        <v>3423</v>
      </c>
      <c r="O126" s="3176">
        <v>23.43</v>
      </c>
      <c r="P126" s="3176">
        <v>7.38</v>
      </c>
    </row>
    <row r="127" spans="1:16" ht="15" thickBot="1">
      <c r="A127" s="3174">
        <v>125</v>
      </c>
      <c r="B127" s="3175" t="s">
        <v>3549</v>
      </c>
      <c r="C127" s="3176">
        <v>113.05</v>
      </c>
      <c r="D127" s="3176">
        <v>35.590000000000003</v>
      </c>
      <c r="F127" s="3177">
        <v>125</v>
      </c>
      <c r="G127" s="3175" t="s">
        <v>3503</v>
      </c>
      <c r="H127" s="3178">
        <v>-1047</v>
      </c>
      <c r="I127" s="3179">
        <v>8.6300000000000008</v>
      </c>
      <c r="J127" s="3179">
        <v>2.72</v>
      </c>
      <c r="L127" s="3177">
        <v>125</v>
      </c>
      <c r="M127" s="3175">
        <v>-10098</v>
      </c>
      <c r="N127" s="3175" t="s">
        <v>3423</v>
      </c>
      <c r="O127" s="3176">
        <v>23.43</v>
      </c>
      <c r="P127" s="3176">
        <v>7.38</v>
      </c>
    </row>
    <row r="128" spans="1:16" ht="15" thickBot="1">
      <c r="A128" s="3174">
        <v>126</v>
      </c>
      <c r="B128" s="3175" t="s">
        <v>3550</v>
      </c>
      <c r="C128" s="3176">
        <v>89.33</v>
      </c>
      <c r="D128" s="3176">
        <v>28.12</v>
      </c>
      <c r="F128" s="3177">
        <v>126</v>
      </c>
      <c r="G128" s="3175" t="s">
        <v>3503</v>
      </c>
      <c r="H128" s="3178">
        <v>-1048</v>
      </c>
      <c r="I128" s="3179">
        <v>8.6300000000000008</v>
      </c>
      <c r="J128" s="3179">
        <v>2.72</v>
      </c>
      <c r="L128" s="3177">
        <v>126</v>
      </c>
      <c r="M128" s="3175">
        <v>-10099</v>
      </c>
      <c r="N128" s="3175" t="s">
        <v>3423</v>
      </c>
      <c r="O128" s="3176">
        <v>23.43</v>
      </c>
      <c r="P128" s="3176">
        <v>7.38</v>
      </c>
    </row>
    <row r="129" spans="1:16" ht="15" thickBot="1">
      <c r="A129" s="3174">
        <v>127</v>
      </c>
      <c r="B129" s="3175" t="s">
        <v>3551</v>
      </c>
      <c r="C129" s="3176">
        <v>89.33</v>
      </c>
      <c r="D129" s="3176">
        <v>28.12</v>
      </c>
      <c r="F129" s="3177">
        <v>127</v>
      </c>
      <c r="G129" s="3175" t="s">
        <v>3503</v>
      </c>
      <c r="H129" s="3178">
        <v>-1049</v>
      </c>
      <c r="I129" s="3179">
        <v>8.6300000000000008</v>
      </c>
      <c r="J129" s="3179">
        <v>2.72</v>
      </c>
      <c r="L129" s="3177">
        <v>127</v>
      </c>
      <c r="M129" s="3175">
        <v>-10100</v>
      </c>
      <c r="N129" s="3175" t="s">
        <v>3423</v>
      </c>
      <c r="O129" s="3176">
        <v>23.43</v>
      </c>
      <c r="P129" s="3176">
        <v>7.38</v>
      </c>
    </row>
    <row r="130" spans="1:16" ht="15" thickBot="1">
      <c r="A130" s="3174">
        <v>128</v>
      </c>
      <c r="B130" s="3175" t="s">
        <v>3552</v>
      </c>
      <c r="C130" s="3176">
        <v>89.61</v>
      </c>
      <c r="D130" s="3176">
        <v>28.21</v>
      </c>
      <c r="F130" s="3177">
        <v>128</v>
      </c>
      <c r="G130" s="3175" t="s">
        <v>3503</v>
      </c>
      <c r="H130" s="3178">
        <v>-1050</v>
      </c>
      <c r="I130" s="3179">
        <v>8.6300000000000008</v>
      </c>
      <c r="J130" s="3179">
        <v>2.72</v>
      </c>
      <c r="L130" s="3177">
        <v>128</v>
      </c>
      <c r="M130" s="3175">
        <v>-10101</v>
      </c>
      <c r="N130" s="3175" t="s">
        <v>3423</v>
      </c>
      <c r="O130" s="3176">
        <v>23.43</v>
      </c>
      <c r="P130" s="3176">
        <v>7.38</v>
      </c>
    </row>
    <row r="131" spans="1:16" ht="15" thickBot="1">
      <c r="A131" s="3174">
        <v>129</v>
      </c>
      <c r="B131" s="3175" t="s">
        <v>3553</v>
      </c>
      <c r="C131" s="3176">
        <v>113.05</v>
      </c>
      <c r="D131" s="3176">
        <v>35.590000000000003</v>
      </c>
      <c r="F131" s="3177">
        <v>129</v>
      </c>
      <c r="G131" s="3175" t="s">
        <v>3503</v>
      </c>
      <c r="H131" s="3178">
        <v>-1051</v>
      </c>
      <c r="I131" s="3179">
        <v>12.55</v>
      </c>
      <c r="J131" s="3179">
        <v>3.95</v>
      </c>
      <c r="L131" s="3177">
        <v>129</v>
      </c>
      <c r="M131" s="3175">
        <v>-10102</v>
      </c>
      <c r="N131" s="3175" t="s">
        <v>3423</v>
      </c>
      <c r="O131" s="3176">
        <v>23.43</v>
      </c>
      <c r="P131" s="3176">
        <v>7.38</v>
      </c>
    </row>
    <row r="132" spans="1:16" ht="15" thickBot="1">
      <c r="A132" s="3174">
        <v>130</v>
      </c>
      <c r="B132" s="3175" t="s">
        <v>3554</v>
      </c>
      <c r="C132" s="3176">
        <v>89.33</v>
      </c>
      <c r="D132" s="3176">
        <v>28.12</v>
      </c>
      <c r="F132" s="3177">
        <v>130</v>
      </c>
      <c r="G132" s="3175" t="s">
        <v>3503</v>
      </c>
      <c r="H132" s="3178">
        <v>-1052</v>
      </c>
      <c r="I132" s="3179">
        <v>12.35</v>
      </c>
      <c r="J132" s="3179">
        <v>3.89</v>
      </c>
      <c r="L132" s="3177">
        <v>130</v>
      </c>
      <c r="M132" s="3175">
        <v>-10103</v>
      </c>
      <c r="N132" s="3175" t="s">
        <v>3423</v>
      </c>
      <c r="O132" s="3176">
        <v>23.43</v>
      </c>
      <c r="P132" s="3176">
        <v>7.38</v>
      </c>
    </row>
    <row r="133" spans="1:16" ht="15" thickBot="1">
      <c r="A133" s="3174">
        <v>131</v>
      </c>
      <c r="B133" s="3175" t="s">
        <v>3555</v>
      </c>
      <c r="C133" s="3176">
        <v>89.33</v>
      </c>
      <c r="D133" s="3176">
        <v>28.12</v>
      </c>
      <c r="F133" s="3177">
        <v>131</v>
      </c>
      <c r="G133" s="3175" t="s">
        <v>3503</v>
      </c>
      <c r="H133" s="3178">
        <v>-1053</v>
      </c>
      <c r="I133" s="3179">
        <v>14.02</v>
      </c>
      <c r="J133" s="3179">
        <v>4.41</v>
      </c>
      <c r="L133" s="3177">
        <v>131</v>
      </c>
      <c r="M133" s="3175">
        <v>-10104</v>
      </c>
      <c r="N133" s="3175" t="s">
        <v>3423</v>
      </c>
      <c r="O133" s="3176">
        <v>23.43</v>
      </c>
      <c r="P133" s="3176">
        <v>7.38</v>
      </c>
    </row>
    <row r="134" spans="1:16" ht="15" thickBot="1">
      <c r="A134" s="3174">
        <v>132</v>
      </c>
      <c r="B134" s="3175" t="s">
        <v>3556</v>
      </c>
      <c r="C134" s="3176">
        <v>89.61</v>
      </c>
      <c r="D134" s="3176">
        <v>28.21</v>
      </c>
      <c r="F134" s="3177">
        <v>132</v>
      </c>
      <c r="G134" s="3175" t="s">
        <v>3503</v>
      </c>
      <c r="H134" s="3178">
        <v>-1054</v>
      </c>
      <c r="I134" s="3179">
        <v>10.78</v>
      </c>
      <c r="J134" s="3179">
        <v>3.39</v>
      </c>
      <c r="L134" s="3177">
        <v>132</v>
      </c>
      <c r="M134" s="3175">
        <v>-10105</v>
      </c>
      <c r="N134" s="3175" t="s">
        <v>3423</v>
      </c>
      <c r="O134" s="3176">
        <v>23.43</v>
      </c>
      <c r="P134" s="3176">
        <v>7.38</v>
      </c>
    </row>
    <row r="135" spans="1:16" ht="15" thickBot="1">
      <c r="A135" s="3174">
        <v>133</v>
      </c>
      <c r="B135" s="3175" t="s">
        <v>3557</v>
      </c>
      <c r="C135" s="3176">
        <v>89.17</v>
      </c>
      <c r="D135" s="3176">
        <v>28.07</v>
      </c>
      <c r="F135" s="3177">
        <v>133</v>
      </c>
      <c r="G135" s="3175" t="s">
        <v>3503</v>
      </c>
      <c r="H135" s="3178">
        <v>-1055</v>
      </c>
      <c r="I135" s="3179">
        <v>10.18</v>
      </c>
      <c r="J135" s="3179">
        <v>3.21</v>
      </c>
      <c r="L135" s="3177">
        <v>133</v>
      </c>
      <c r="M135" s="3175">
        <v>-10106</v>
      </c>
      <c r="N135" s="3175" t="s">
        <v>3423</v>
      </c>
      <c r="O135" s="3176">
        <v>23.43</v>
      </c>
      <c r="P135" s="3176">
        <v>7.38</v>
      </c>
    </row>
    <row r="136" spans="1:16" ht="15" thickBot="1">
      <c r="A136" s="3174">
        <v>134</v>
      </c>
      <c r="B136" s="3175" t="s">
        <v>3558</v>
      </c>
      <c r="C136" s="3176">
        <v>88.89</v>
      </c>
      <c r="D136" s="3176">
        <v>27.99</v>
      </c>
      <c r="F136" s="3177">
        <v>134</v>
      </c>
      <c r="G136" s="3175" t="s">
        <v>3503</v>
      </c>
      <c r="H136" s="3178">
        <v>-1056</v>
      </c>
      <c r="I136" s="3179">
        <v>10.49</v>
      </c>
      <c r="J136" s="3179">
        <v>3.3</v>
      </c>
      <c r="L136" s="3177">
        <v>134</v>
      </c>
      <c r="M136" s="3175">
        <v>-10107</v>
      </c>
      <c r="N136" s="3175" t="s">
        <v>3423</v>
      </c>
      <c r="O136" s="3176">
        <v>23.43</v>
      </c>
      <c r="P136" s="3176">
        <v>7.38</v>
      </c>
    </row>
    <row r="137" spans="1:16" ht="15" thickBot="1">
      <c r="A137" s="3174">
        <v>135</v>
      </c>
      <c r="B137" s="3175" t="s">
        <v>3559</v>
      </c>
      <c r="C137" s="3176">
        <v>88.89</v>
      </c>
      <c r="D137" s="3176">
        <v>27.99</v>
      </c>
      <c r="F137" s="3177">
        <v>135</v>
      </c>
      <c r="G137" s="3175" t="s">
        <v>3560</v>
      </c>
      <c r="H137" s="3178">
        <v>-1001</v>
      </c>
      <c r="I137" s="3179">
        <v>18.399999999999999</v>
      </c>
      <c r="J137" s="3179">
        <v>5.79</v>
      </c>
      <c r="L137" s="3177">
        <v>135</v>
      </c>
      <c r="M137" s="3175">
        <v>-10108</v>
      </c>
      <c r="N137" s="3175" t="s">
        <v>3423</v>
      </c>
      <c r="O137" s="3176">
        <v>23.43</v>
      </c>
      <c r="P137" s="3176">
        <v>7.38</v>
      </c>
    </row>
    <row r="138" spans="1:16" ht="15" thickBot="1">
      <c r="A138" s="3174">
        <v>136</v>
      </c>
      <c r="B138" s="3175" t="s">
        <v>3561</v>
      </c>
      <c r="C138" s="3176">
        <v>112.34</v>
      </c>
      <c r="D138" s="3176">
        <v>35.369999999999997</v>
      </c>
      <c r="F138" s="3177">
        <v>136</v>
      </c>
      <c r="G138" s="3175" t="s">
        <v>3560</v>
      </c>
      <c r="H138" s="3178">
        <v>-1002</v>
      </c>
      <c r="I138" s="3179">
        <v>18.149999999999999</v>
      </c>
      <c r="J138" s="3179">
        <v>5.71</v>
      </c>
      <c r="L138" s="3177">
        <v>136</v>
      </c>
      <c r="M138" s="3175">
        <v>-10109</v>
      </c>
      <c r="N138" s="3175" t="s">
        <v>3423</v>
      </c>
      <c r="O138" s="3176">
        <v>23.43</v>
      </c>
      <c r="P138" s="3176">
        <v>7.38</v>
      </c>
    </row>
    <row r="139" spans="1:16" ht="15" thickBot="1">
      <c r="A139" s="3174">
        <v>137</v>
      </c>
      <c r="B139" s="3175" t="s">
        <v>3562</v>
      </c>
      <c r="C139" s="3176">
        <v>89.17</v>
      </c>
      <c r="D139" s="3176">
        <v>28.07</v>
      </c>
      <c r="F139" s="3177">
        <v>137</v>
      </c>
      <c r="G139" s="3175" t="s">
        <v>3560</v>
      </c>
      <c r="H139" s="3178">
        <v>-1003</v>
      </c>
      <c r="I139" s="3179">
        <v>16.440000000000001</v>
      </c>
      <c r="J139" s="3179">
        <v>5.18</v>
      </c>
      <c r="L139" s="3177">
        <v>137</v>
      </c>
      <c r="M139" s="3175">
        <v>-10110</v>
      </c>
      <c r="N139" s="3175" t="s">
        <v>3423</v>
      </c>
      <c r="O139" s="3176">
        <v>23.43</v>
      </c>
      <c r="P139" s="3176">
        <v>7.38</v>
      </c>
    </row>
    <row r="140" spans="1:16" ht="15" thickBot="1">
      <c r="A140" s="3174">
        <v>138</v>
      </c>
      <c r="B140" s="3175" t="s">
        <v>3563</v>
      </c>
      <c r="C140" s="3176">
        <v>88.89</v>
      </c>
      <c r="D140" s="3176">
        <v>27.99</v>
      </c>
      <c r="F140" s="3177">
        <v>138</v>
      </c>
      <c r="G140" s="3175" t="s">
        <v>3560</v>
      </c>
      <c r="H140" s="3178">
        <v>-1004</v>
      </c>
      <c r="I140" s="3179">
        <v>22.14</v>
      </c>
      <c r="J140" s="3179">
        <v>6.97</v>
      </c>
      <c r="L140" s="3177">
        <v>138</v>
      </c>
      <c r="M140" s="3175">
        <v>-10111</v>
      </c>
      <c r="N140" s="3175" t="s">
        <v>3423</v>
      </c>
      <c r="O140" s="3176">
        <v>23.43</v>
      </c>
      <c r="P140" s="3176">
        <v>7.38</v>
      </c>
    </row>
    <row r="141" spans="1:16" ht="15" thickBot="1">
      <c r="A141" s="3174">
        <v>139</v>
      </c>
      <c r="B141" s="3175" t="s">
        <v>3564</v>
      </c>
      <c r="C141" s="3176">
        <v>88.89</v>
      </c>
      <c r="D141" s="3176">
        <v>27.99</v>
      </c>
      <c r="F141" s="3177">
        <v>139</v>
      </c>
      <c r="G141" s="3175" t="s">
        <v>3560</v>
      </c>
      <c r="H141" s="3178">
        <v>-1005</v>
      </c>
      <c r="I141" s="3179">
        <v>10.29</v>
      </c>
      <c r="J141" s="3179">
        <v>3.24</v>
      </c>
      <c r="L141" s="3177">
        <v>139</v>
      </c>
      <c r="M141" s="3175">
        <v>-10112</v>
      </c>
      <c r="N141" s="3175" t="s">
        <v>3423</v>
      </c>
      <c r="O141" s="3176">
        <v>23.43</v>
      </c>
      <c r="P141" s="3176">
        <v>7.38</v>
      </c>
    </row>
    <row r="142" spans="1:16" ht="15" thickBot="1">
      <c r="A142" s="3174">
        <v>140</v>
      </c>
      <c r="B142" s="3175" t="s">
        <v>3565</v>
      </c>
      <c r="C142" s="3176">
        <v>112.34</v>
      </c>
      <c r="D142" s="3176">
        <v>35.369999999999997</v>
      </c>
      <c r="F142" s="3177">
        <v>140</v>
      </c>
      <c r="G142" s="3175" t="s">
        <v>3560</v>
      </c>
      <c r="H142" s="3178">
        <v>-1006</v>
      </c>
      <c r="I142" s="3179">
        <v>10.01</v>
      </c>
      <c r="J142" s="3179">
        <v>3.15</v>
      </c>
      <c r="L142" s="3177">
        <v>140</v>
      </c>
      <c r="M142" s="3175">
        <v>-10113</v>
      </c>
      <c r="N142" s="3175" t="s">
        <v>3423</v>
      </c>
      <c r="O142" s="3176">
        <v>23.43</v>
      </c>
      <c r="P142" s="3176">
        <v>7.38</v>
      </c>
    </row>
    <row r="143" spans="1:16" ht="15" thickBot="1">
      <c r="A143" s="3174">
        <v>141</v>
      </c>
      <c r="B143" s="3175" t="s">
        <v>3566</v>
      </c>
      <c r="C143" s="3176">
        <v>89.17</v>
      </c>
      <c r="D143" s="3176">
        <v>28.07</v>
      </c>
      <c r="F143" s="3177">
        <v>141</v>
      </c>
      <c r="G143" s="3175" t="s">
        <v>3560</v>
      </c>
      <c r="H143" s="3178">
        <v>-1007</v>
      </c>
      <c r="I143" s="3179">
        <v>15.63</v>
      </c>
      <c r="J143" s="3179">
        <v>4.92</v>
      </c>
      <c r="L143" s="3177">
        <v>141</v>
      </c>
      <c r="M143" s="3175">
        <v>-10114</v>
      </c>
      <c r="N143" s="3175" t="s">
        <v>3423</v>
      </c>
      <c r="O143" s="3176">
        <v>23.43</v>
      </c>
      <c r="P143" s="3176">
        <v>7.38</v>
      </c>
    </row>
    <row r="144" spans="1:16" ht="15" thickBot="1">
      <c r="A144" s="3174">
        <v>142</v>
      </c>
      <c r="B144" s="3175" t="s">
        <v>3567</v>
      </c>
      <c r="C144" s="3176">
        <v>88.89</v>
      </c>
      <c r="D144" s="3176">
        <v>27.99</v>
      </c>
      <c r="F144" s="3177">
        <v>142</v>
      </c>
      <c r="G144" s="3175" t="s">
        <v>3560</v>
      </c>
      <c r="H144" s="3178">
        <v>-1008</v>
      </c>
      <c r="I144" s="3179">
        <v>15.15</v>
      </c>
      <c r="J144" s="3179">
        <v>4.7699999999999996</v>
      </c>
      <c r="L144" s="3177">
        <v>142</v>
      </c>
      <c r="M144" s="3175">
        <v>-10115</v>
      </c>
      <c r="N144" s="3175" t="s">
        <v>3423</v>
      </c>
      <c r="O144" s="3176">
        <v>23.43</v>
      </c>
      <c r="P144" s="3176">
        <v>7.38</v>
      </c>
    </row>
    <row r="145" spans="1:16" ht="15" thickBot="1">
      <c r="A145" s="3174">
        <v>143</v>
      </c>
      <c r="B145" s="3175" t="s">
        <v>3568</v>
      </c>
      <c r="C145" s="3176">
        <v>88.89</v>
      </c>
      <c r="D145" s="3176">
        <v>27.99</v>
      </c>
      <c r="F145" s="3177">
        <v>143</v>
      </c>
      <c r="G145" s="3175" t="s">
        <v>3560</v>
      </c>
      <c r="H145" s="3178">
        <v>-1009</v>
      </c>
      <c r="I145" s="3179">
        <v>15.63</v>
      </c>
      <c r="J145" s="3179">
        <v>4.92</v>
      </c>
      <c r="L145" s="3177">
        <v>143</v>
      </c>
      <c r="M145" s="3175">
        <v>-10116</v>
      </c>
      <c r="N145" s="3175" t="s">
        <v>3423</v>
      </c>
      <c r="O145" s="3176">
        <v>23.43</v>
      </c>
      <c r="P145" s="3176">
        <v>7.38</v>
      </c>
    </row>
    <row r="146" spans="1:16" ht="15" thickBot="1">
      <c r="A146" s="3174">
        <v>144</v>
      </c>
      <c r="B146" s="3175" t="s">
        <v>3569</v>
      </c>
      <c r="C146" s="3176">
        <v>112.34</v>
      </c>
      <c r="D146" s="3176">
        <v>35.369999999999997</v>
      </c>
      <c r="F146" s="3177">
        <v>144</v>
      </c>
      <c r="G146" s="3175" t="s">
        <v>3560</v>
      </c>
      <c r="H146" s="3178">
        <v>-1010</v>
      </c>
      <c r="I146" s="3179">
        <v>15.63</v>
      </c>
      <c r="J146" s="3179">
        <v>4.92</v>
      </c>
      <c r="L146" s="3177">
        <v>144</v>
      </c>
      <c r="M146" s="3175">
        <v>-10117</v>
      </c>
      <c r="N146" s="3175" t="s">
        <v>3423</v>
      </c>
      <c r="O146" s="3176">
        <v>23.43</v>
      </c>
      <c r="P146" s="3176">
        <v>7.38</v>
      </c>
    </row>
    <row r="147" spans="1:16" ht="15" thickBot="1">
      <c r="A147" s="3174">
        <v>145</v>
      </c>
      <c r="B147" s="3175" t="s">
        <v>3570</v>
      </c>
      <c r="C147" s="3176">
        <v>112.34</v>
      </c>
      <c r="D147" s="3176">
        <v>35.369999999999997</v>
      </c>
      <c r="F147" s="3177">
        <v>145</v>
      </c>
      <c r="G147" s="3175" t="s">
        <v>3560</v>
      </c>
      <c r="H147" s="3178">
        <v>-1011</v>
      </c>
      <c r="I147" s="3179">
        <v>15.63</v>
      </c>
      <c r="J147" s="3179">
        <v>4.92</v>
      </c>
      <c r="L147" s="3177">
        <v>145</v>
      </c>
      <c r="M147" s="3175">
        <v>-10118</v>
      </c>
      <c r="N147" s="3175" t="s">
        <v>3423</v>
      </c>
      <c r="O147" s="3176">
        <v>23.43</v>
      </c>
      <c r="P147" s="3176">
        <v>7.38</v>
      </c>
    </row>
    <row r="148" spans="1:16" ht="15" thickBot="1">
      <c r="A148" s="3174">
        <v>146</v>
      </c>
      <c r="B148" s="3175" t="s">
        <v>3571</v>
      </c>
      <c r="C148" s="3176">
        <v>88.89</v>
      </c>
      <c r="D148" s="3176">
        <v>27.99</v>
      </c>
      <c r="F148" s="3177">
        <v>146</v>
      </c>
      <c r="G148" s="3175" t="s">
        <v>3560</v>
      </c>
      <c r="H148" s="3178">
        <v>-1012</v>
      </c>
      <c r="I148" s="3179">
        <v>8.4600000000000009</v>
      </c>
      <c r="J148" s="3179">
        <v>2.66</v>
      </c>
      <c r="L148" s="3177">
        <v>146</v>
      </c>
      <c r="M148" s="3175">
        <v>-10119</v>
      </c>
      <c r="N148" s="3175" t="s">
        <v>3423</v>
      </c>
      <c r="O148" s="3176">
        <v>23.43</v>
      </c>
      <c r="P148" s="3176">
        <v>7.38</v>
      </c>
    </row>
    <row r="149" spans="1:16" ht="15" thickBot="1">
      <c r="A149" s="3174">
        <v>147</v>
      </c>
      <c r="B149" s="3175" t="s">
        <v>3572</v>
      </c>
      <c r="C149" s="3176">
        <v>88.89</v>
      </c>
      <c r="D149" s="3176">
        <v>27.99</v>
      </c>
      <c r="F149" s="3177">
        <v>147</v>
      </c>
      <c r="G149" s="3175" t="s">
        <v>3560</v>
      </c>
      <c r="H149" s="3178">
        <v>-1013</v>
      </c>
      <c r="I149" s="3179">
        <v>8.92</v>
      </c>
      <c r="J149" s="3179">
        <v>2.81</v>
      </c>
      <c r="L149" s="3177">
        <v>147</v>
      </c>
      <c r="M149" s="3175">
        <v>-10120</v>
      </c>
      <c r="N149" s="3175" t="s">
        <v>3423</v>
      </c>
      <c r="O149" s="3176">
        <v>23.43</v>
      </c>
      <c r="P149" s="3176">
        <v>7.38</v>
      </c>
    </row>
    <row r="150" spans="1:16" ht="15" thickBot="1">
      <c r="A150" s="3174">
        <v>148</v>
      </c>
      <c r="B150" s="3175" t="s">
        <v>3573</v>
      </c>
      <c r="C150" s="3176">
        <v>89.17</v>
      </c>
      <c r="D150" s="3176">
        <v>28.07</v>
      </c>
      <c r="F150" s="3177">
        <v>148</v>
      </c>
      <c r="G150" s="3175" t="s">
        <v>3560</v>
      </c>
      <c r="H150" s="3178">
        <v>-1014</v>
      </c>
      <c r="I150" s="3179">
        <v>9.51</v>
      </c>
      <c r="J150" s="3179">
        <v>2.99</v>
      </c>
      <c r="L150" s="3177">
        <v>148</v>
      </c>
      <c r="M150" s="3175">
        <v>-10121</v>
      </c>
      <c r="N150" s="3175" t="s">
        <v>3423</v>
      </c>
      <c r="O150" s="3176">
        <v>23.43</v>
      </c>
      <c r="P150" s="3176">
        <v>7.38</v>
      </c>
    </row>
    <row r="151" spans="1:16" ht="15" thickBot="1">
      <c r="A151" s="3174">
        <v>149</v>
      </c>
      <c r="B151" s="3175" t="s">
        <v>3574</v>
      </c>
      <c r="C151" s="3176">
        <v>112.34</v>
      </c>
      <c r="D151" s="3176">
        <v>35.369999999999997</v>
      </c>
      <c r="F151" s="3177">
        <v>149</v>
      </c>
      <c r="G151" s="3175" t="s">
        <v>3560</v>
      </c>
      <c r="H151" s="3178">
        <v>-1015</v>
      </c>
      <c r="I151" s="3179">
        <v>9.86</v>
      </c>
      <c r="J151" s="3179">
        <v>3.1</v>
      </c>
      <c r="L151" s="3177">
        <v>149</v>
      </c>
      <c r="M151" s="3175">
        <v>-10122</v>
      </c>
      <c r="N151" s="3175" t="s">
        <v>3423</v>
      </c>
      <c r="O151" s="3176">
        <v>23.43</v>
      </c>
      <c r="P151" s="3176">
        <v>7.38</v>
      </c>
    </row>
    <row r="152" spans="1:16" ht="15" thickBot="1">
      <c r="A152" s="3174">
        <v>150</v>
      </c>
      <c r="B152" s="3175" t="s">
        <v>3575</v>
      </c>
      <c r="C152" s="3176">
        <v>88.89</v>
      </c>
      <c r="D152" s="3176">
        <v>27.99</v>
      </c>
      <c r="F152" s="3177">
        <v>150</v>
      </c>
      <c r="G152" s="3175" t="s">
        <v>3560</v>
      </c>
      <c r="H152" s="3178">
        <v>-1016</v>
      </c>
      <c r="I152" s="3179">
        <v>9.89</v>
      </c>
      <c r="J152" s="3179">
        <v>3.11</v>
      </c>
      <c r="L152" s="3177">
        <v>150</v>
      </c>
      <c r="M152" s="3175">
        <v>-10123</v>
      </c>
      <c r="N152" s="3175" t="s">
        <v>3423</v>
      </c>
      <c r="O152" s="3176">
        <v>23.43</v>
      </c>
      <c r="P152" s="3176">
        <v>7.38</v>
      </c>
    </row>
    <row r="153" spans="1:16" ht="15" thickBot="1">
      <c r="A153" s="3174">
        <v>151</v>
      </c>
      <c r="B153" s="3175" t="s">
        <v>3576</v>
      </c>
      <c r="C153" s="3176">
        <v>88.89</v>
      </c>
      <c r="D153" s="3176">
        <v>27.99</v>
      </c>
      <c r="F153" s="3177">
        <v>151</v>
      </c>
      <c r="G153" s="3175" t="s">
        <v>3560</v>
      </c>
      <c r="H153" s="3178">
        <v>-1017</v>
      </c>
      <c r="I153" s="3179">
        <v>9.89</v>
      </c>
      <c r="J153" s="3179">
        <v>3.11</v>
      </c>
      <c r="L153" s="3177">
        <v>151</v>
      </c>
      <c r="M153" s="3175">
        <v>-10124</v>
      </c>
      <c r="N153" s="3175" t="s">
        <v>3423</v>
      </c>
      <c r="O153" s="3176">
        <v>23.43</v>
      </c>
      <c r="P153" s="3176">
        <v>7.38</v>
      </c>
    </row>
    <row r="154" spans="1:16" ht="15" thickBot="1">
      <c r="A154" s="3174">
        <v>152</v>
      </c>
      <c r="B154" s="3175" t="s">
        <v>3577</v>
      </c>
      <c r="C154" s="3176">
        <v>89.17</v>
      </c>
      <c r="D154" s="3176">
        <v>28.07</v>
      </c>
      <c r="F154" s="3177">
        <v>152</v>
      </c>
      <c r="G154" s="3175" t="s">
        <v>3560</v>
      </c>
      <c r="H154" s="3178">
        <v>-1018</v>
      </c>
      <c r="I154" s="3179">
        <v>9.89</v>
      </c>
      <c r="J154" s="3179">
        <v>3.11</v>
      </c>
      <c r="L154" s="3177">
        <v>152</v>
      </c>
      <c r="M154" s="3175">
        <v>-10125</v>
      </c>
      <c r="N154" s="3175" t="s">
        <v>3423</v>
      </c>
      <c r="O154" s="3176">
        <v>23.43</v>
      </c>
      <c r="P154" s="3176">
        <v>7.38</v>
      </c>
    </row>
    <row r="155" spans="1:16" ht="15" thickBot="1">
      <c r="A155" s="3174">
        <v>153</v>
      </c>
      <c r="B155" s="3175" t="s">
        <v>3578</v>
      </c>
      <c r="C155" s="3176">
        <v>112.34</v>
      </c>
      <c r="D155" s="3176">
        <v>35.369999999999997</v>
      </c>
      <c r="F155" s="3177">
        <v>153</v>
      </c>
      <c r="G155" s="3175" t="s">
        <v>3560</v>
      </c>
      <c r="H155" s="3178">
        <v>-1019</v>
      </c>
      <c r="I155" s="3179">
        <v>9.89</v>
      </c>
      <c r="J155" s="3179">
        <v>3.11</v>
      </c>
      <c r="L155" s="3177">
        <v>153</v>
      </c>
      <c r="M155" s="3175">
        <v>-10126</v>
      </c>
      <c r="N155" s="3175" t="s">
        <v>3423</v>
      </c>
      <c r="O155" s="3176">
        <v>23.43</v>
      </c>
      <c r="P155" s="3176">
        <v>7.38</v>
      </c>
    </row>
    <row r="156" spans="1:16" ht="15" thickBot="1">
      <c r="A156" s="3174">
        <v>154</v>
      </c>
      <c r="B156" s="3175" t="s">
        <v>3579</v>
      </c>
      <c r="C156" s="3176">
        <v>88.89</v>
      </c>
      <c r="D156" s="3176">
        <v>27.99</v>
      </c>
      <c r="F156" s="3177">
        <v>154</v>
      </c>
      <c r="G156" s="3175" t="s">
        <v>3560</v>
      </c>
      <c r="H156" s="3178">
        <v>-1020</v>
      </c>
      <c r="I156" s="3179">
        <v>13.95</v>
      </c>
      <c r="J156" s="3179">
        <v>4.3899999999999997</v>
      </c>
      <c r="L156" s="3177">
        <v>154</v>
      </c>
      <c r="M156" s="3175">
        <v>-10127</v>
      </c>
      <c r="N156" s="3175" t="s">
        <v>3423</v>
      </c>
      <c r="O156" s="3176">
        <v>23.43</v>
      </c>
      <c r="P156" s="3176">
        <v>7.38</v>
      </c>
    </row>
    <row r="157" spans="1:16" ht="15" thickBot="1">
      <c r="A157" s="3174">
        <v>155</v>
      </c>
      <c r="B157" s="3175" t="s">
        <v>3580</v>
      </c>
      <c r="C157" s="3176">
        <v>88.89</v>
      </c>
      <c r="D157" s="3176">
        <v>27.99</v>
      </c>
      <c r="F157" s="3177">
        <v>155</v>
      </c>
      <c r="G157" s="3175" t="s">
        <v>3560</v>
      </c>
      <c r="H157" s="3178">
        <v>-1021</v>
      </c>
      <c r="I157" s="3179">
        <v>14.21</v>
      </c>
      <c r="J157" s="3179">
        <v>4.47</v>
      </c>
      <c r="L157" s="3177">
        <v>155</v>
      </c>
      <c r="M157" s="3175">
        <v>-10128</v>
      </c>
      <c r="N157" s="3175" t="s">
        <v>3423</v>
      </c>
      <c r="O157" s="3176">
        <v>23.43</v>
      </c>
      <c r="P157" s="3176">
        <v>7.38</v>
      </c>
    </row>
    <row r="158" spans="1:16" ht="15" thickBot="1">
      <c r="A158" s="3174">
        <v>156</v>
      </c>
      <c r="B158" s="3175" t="s">
        <v>3581</v>
      </c>
      <c r="C158" s="3176">
        <v>89.17</v>
      </c>
      <c r="D158" s="3176">
        <v>28.07</v>
      </c>
      <c r="F158" s="3177">
        <v>156</v>
      </c>
      <c r="G158" s="3175" t="s">
        <v>3560</v>
      </c>
      <c r="H158" s="3178">
        <v>-1022</v>
      </c>
      <c r="I158" s="3179">
        <v>16.059999999999999</v>
      </c>
      <c r="J158" s="3179">
        <v>5.0599999999999996</v>
      </c>
      <c r="L158" s="3177">
        <v>156</v>
      </c>
      <c r="M158" s="3175">
        <v>-10129</v>
      </c>
      <c r="N158" s="3175" t="s">
        <v>3423</v>
      </c>
      <c r="O158" s="3176">
        <v>23.43</v>
      </c>
      <c r="P158" s="3176">
        <v>7.38</v>
      </c>
    </row>
    <row r="159" spans="1:16" ht="15" thickBot="1">
      <c r="A159" s="3174">
        <v>157</v>
      </c>
      <c r="B159" s="3175" t="s">
        <v>3582</v>
      </c>
      <c r="C159" s="3176">
        <v>89.62</v>
      </c>
      <c r="D159" s="3176">
        <v>28.22</v>
      </c>
      <c r="F159" s="3177">
        <v>157</v>
      </c>
      <c r="G159" s="3175" t="s">
        <v>3560</v>
      </c>
      <c r="H159" s="3178">
        <v>-1023</v>
      </c>
      <c r="I159" s="3179">
        <v>12.02</v>
      </c>
      <c r="J159" s="3179">
        <v>3.78</v>
      </c>
      <c r="L159" s="3177">
        <v>157</v>
      </c>
      <c r="M159" s="3175">
        <v>-10130</v>
      </c>
      <c r="N159" s="3175" t="s">
        <v>3423</v>
      </c>
      <c r="O159" s="3176">
        <v>23.43</v>
      </c>
      <c r="P159" s="3176">
        <v>7.38</v>
      </c>
    </row>
    <row r="160" spans="1:16" ht="15" thickBot="1">
      <c r="A160" s="3174">
        <v>158</v>
      </c>
      <c r="B160" s="3175" t="s">
        <v>3583</v>
      </c>
      <c r="C160" s="3176">
        <v>89.34</v>
      </c>
      <c r="D160" s="3176">
        <v>28.13</v>
      </c>
      <c r="F160" s="3177">
        <v>158</v>
      </c>
      <c r="G160" s="3175" t="s">
        <v>3560</v>
      </c>
      <c r="H160" s="3178">
        <v>-1024</v>
      </c>
      <c r="I160" s="3179">
        <v>11.67</v>
      </c>
      <c r="J160" s="3179">
        <v>3.67</v>
      </c>
      <c r="L160" s="3177">
        <v>158</v>
      </c>
      <c r="M160" s="3175">
        <v>-10131</v>
      </c>
      <c r="N160" s="3175" t="s">
        <v>3423</v>
      </c>
      <c r="O160" s="3176">
        <v>23.43</v>
      </c>
      <c r="P160" s="3176">
        <v>7.38</v>
      </c>
    </row>
    <row r="161" spans="1:16" ht="15" thickBot="1">
      <c r="A161" s="3174">
        <v>159</v>
      </c>
      <c r="B161" s="3175" t="s">
        <v>3584</v>
      </c>
      <c r="C161" s="3176">
        <v>89.34</v>
      </c>
      <c r="D161" s="3176">
        <v>28.13</v>
      </c>
      <c r="F161" s="3177">
        <v>159</v>
      </c>
      <c r="G161" s="3175" t="s">
        <v>3560</v>
      </c>
      <c r="H161" s="3178">
        <v>-1025</v>
      </c>
      <c r="I161" s="3179">
        <v>12.35</v>
      </c>
      <c r="J161" s="3179">
        <v>3.89</v>
      </c>
      <c r="L161" s="3177">
        <v>159</v>
      </c>
      <c r="M161" s="3175">
        <v>-10132</v>
      </c>
      <c r="N161" s="3175" t="s">
        <v>3423</v>
      </c>
      <c r="O161" s="3176">
        <v>23.43</v>
      </c>
      <c r="P161" s="3176">
        <v>7.38</v>
      </c>
    </row>
    <row r="162" spans="1:16" ht="15" thickBot="1">
      <c r="A162" s="3174">
        <v>160</v>
      </c>
      <c r="B162" s="3175" t="s">
        <v>3585</v>
      </c>
      <c r="C162" s="3176">
        <v>113.06</v>
      </c>
      <c r="D162" s="3176">
        <v>35.6</v>
      </c>
      <c r="F162" s="3177">
        <v>160</v>
      </c>
      <c r="G162" s="3175" t="s">
        <v>3586</v>
      </c>
      <c r="H162" s="3178">
        <v>-1001</v>
      </c>
      <c r="I162" s="3179">
        <v>11.53</v>
      </c>
      <c r="J162" s="3179">
        <v>3.63</v>
      </c>
      <c r="L162" s="3177">
        <v>160</v>
      </c>
      <c r="M162" s="3175">
        <v>-10133</v>
      </c>
      <c r="N162" s="3175" t="s">
        <v>3423</v>
      </c>
      <c r="O162" s="3176">
        <v>23.43</v>
      </c>
      <c r="P162" s="3176">
        <v>7.38</v>
      </c>
    </row>
    <row r="163" spans="1:16" ht="15" thickBot="1">
      <c r="A163" s="3174">
        <v>161</v>
      </c>
      <c r="B163" s="3175" t="s">
        <v>3587</v>
      </c>
      <c r="C163" s="3176">
        <v>89.62</v>
      </c>
      <c r="D163" s="3176">
        <v>28.22</v>
      </c>
      <c r="F163" s="3177">
        <v>161</v>
      </c>
      <c r="G163" s="3175" t="s">
        <v>3586</v>
      </c>
      <c r="H163" s="3178">
        <v>-1002</v>
      </c>
      <c r="I163" s="3179">
        <v>11.71</v>
      </c>
      <c r="J163" s="3179">
        <v>3.69</v>
      </c>
      <c r="L163" s="3177">
        <v>161</v>
      </c>
      <c r="M163" s="3175">
        <v>-10134</v>
      </c>
      <c r="N163" s="3175" t="s">
        <v>3423</v>
      </c>
      <c r="O163" s="3176">
        <v>23.43</v>
      </c>
      <c r="P163" s="3176">
        <v>7.38</v>
      </c>
    </row>
    <row r="164" spans="1:16" ht="15" thickBot="1">
      <c r="A164" s="3174">
        <v>162</v>
      </c>
      <c r="B164" s="3175" t="s">
        <v>3588</v>
      </c>
      <c r="C164" s="3176">
        <v>89.34</v>
      </c>
      <c r="D164" s="3176">
        <v>28.13</v>
      </c>
      <c r="F164" s="3177">
        <v>162</v>
      </c>
      <c r="G164" s="3175" t="s">
        <v>3586</v>
      </c>
      <c r="H164" s="3178">
        <v>-1003</v>
      </c>
      <c r="I164" s="3179">
        <v>14.94</v>
      </c>
      <c r="J164" s="3179">
        <v>4.7</v>
      </c>
      <c r="L164" s="3177">
        <v>162</v>
      </c>
      <c r="M164" s="3175">
        <v>-10135</v>
      </c>
      <c r="N164" s="3175" t="s">
        <v>3423</v>
      </c>
      <c r="O164" s="3176">
        <v>23.43</v>
      </c>
      <c r="P164" s="3176">
        <v>7.38</v>
      </c>
    </row>
    <row r="165" spans="1:16" ht="15" thickBot="1">
      <c r="A165" s="3174">
        <v>163</v>
      </c>
      <c r="B165" s="3175" t="s">
        <v>3589</v>
      </c>
      <c r="C165" s="3176">
        <v>89.34</v>
      </c>
      <c r="D165" s="3176">
        <v>28.13</v>
      </c>
      <c r="F165" s="3177">
        <v>163</v>
      </c>
      <c r="G165" s="3175" t="s">
        <v>3586</v>
      </c>
      <c r="H165" s="3178">
        <v>-1004</v>
      </c>
      <c r="I165" s="3179">
        <v>20.260000000000002</v>
      </c>
      <c r="J165" s="3179">
        <v>6.38</v>
      </c>
      <c r="L165" s="3177">
        <v>163</v>
      </c>
      <c r="M165" s="3175">
        <v>-10136</v>
      </c>
      <c r="N165" s="3175" t="s">
        <v>3423</v>
      </c>
      <c r="O165" s="3176">
        <v>23.43</v>
      </c>
      <c r="P165" s="3176">
        <v>7.38</v>
      </c>
    </row>
    <row r="166" spans="1:16" ht="15" thickBot="1">
      <c r="A166" s="3174">
        <v>164</v>
      </c>
      <c r="B166" s="3175" t="s">
        <v>3590</v>
      </c>
      <c r="C166" s="3176">
        <v>113.06</v>
      </c>
      <c r="D166" s="3176">
        <v>35.6</v>
      </c>
      <c r="F166" s="3177">
        <v>164</v>
      </c>
      <c r="G166" s="3175" t="s">
        <v>3586</v>
      </c>
      <c r="H166" s="3178">
        <v>-1005</v>
      </c>
      <c r="I166" s="3179">
        <v>9.56</v>
      </c>
      <c r="J166" s="3179">
        <v>3.01</v>
      </c>
      <c r="L166" s="3177">
        <v>164</v>
      </c>
      <c r="M166" s="3175">
        <v>-10137</v>
      </c>
      <c r="N166" s="3175" t="s">
        <v>3423</v>
      </c>
      <c r="O166" s="3176">
        <v>23.43</v>
      </c>
      <c r="P166" s="3176">
        <v>7.38</v>
      </c>
    </row>
    <row r="167" spans="1:16" ht="15" thickBot="1">
      <c r="A167" s="3174">
        <v>165</v>
      </c>
      <c r="B167" s="3175" t="s">
        <v>3591</v>
      </c>
      <c r="C167" s="3176">
        <v>89.62</v>
      </c>
      <c r="D167" s="3176">
        <v>28.22</v>
      </c>
      <c r="F167" s="3177">
        <v>165</v>
      </c>
      <c r="G167" s="3175" t="s">
        <v>3586</v>
      </c>
      <c r="H167" s="3178">
        <v>-1006</v>
      </c>
      <c r="I167" s="3179">
        <v>9.31</v>
      </c>
      <c r="J167" s="3179">
        <v>2.93</v>
      </c>
      <c r="L167" s="3177">
        <v>165</v>
      </c>
      <c r="M167" s="3175">
        <v>-10138</v>
      </c>
      <c r="N167" s="3175" t="s">
        <v>3423</v>
      </c>
      <c r="O167" s="3176">
        <v>23.43</v>
      </c>
      <c r="P167" s="3176">
        <v>7.38</v>
      </c>
    </row>
    <row r="168" spans="1:16" ht="15" thickBot="1">
      <c r="A168" s="3174">
        <v>166</v>
      </c>
      <c r="B168" s="3175" t="s">
        <v>3592</v>
      </c>
      <c r="C168" s="3176">
        <v>89.34</v>
      </c>
      <c r="D168" s="3176">
        <v>28.13</v>
      </c>
      <c r="F168" s="3177">
        <v>166</v>
      </c>
      <c r="G168" s="3175" t="s">
        <v>3586</v>
      </c>
      <c r="H168" s="3178">
        <v>-1007</v>
      </c>
      <c r="I168" s="3179">
        <v>12.47</v>
      </c>
      <c r="J168" s="3179">
        <v>3.93</v>
      </c>
      <c r="L168" s="3177">
        <v>166</v>
      </c>
      <c r="M168" s="3175">
        <v>-10139</v>
      </c>
      <c r="N168" s="3175" t="s">
        <v>3423</v>
      </c>
      <c r="O168" s="3176">
        <v>23.43</v>
      </c>
      <c r="P168" s="3176">
        <v>7.38</v>
      </c>
    </row>
    <row r="169" spans="1:16" ht="15" thickBot="1">
      <c r="A169" s="3174">
        <v>167</v>
      </c>
      <c r="B169" s="3175" t="s">
        <v>3593</v>
      </c>
      <c r="C169" s="3176">
        <v>89.34</v>
      </c>
      <c r="D169" s="3176">
        <v>28.13</v>
      </c>
      <c r="F169" s="3177">
        <v>167</v>
      </c>
      <c r="G169" s="3175" t="s">
        <v>3586</v>
      </c>
      <c r="H169" s="3178">
        <v>-1008</v>
      </c>
      <c r="I169" s="3179">
        <v>14.62</v>
      </c>
      <c r="J169" s="3179">
        <v>4.5999999999999996</v>
      </c>
      <c r="L169" s="3177">
        <v>167</v>
      </c>
      <c r="M169" s="3175">
        <v>-10140</v>
      </c>
      <c r="N169" s="3175" t="s">
        <v>3423</v>
      </c>
      <c r="O169" s="3176">
        <v>23.43</v>
      </c>
      <c r="P169" s="3176">
        <v>7.38</v>
      </c>
    </row>
    <row r="170" spans="1:16" ht="15" thickBot="1">
      <c r="A170" s="3174">
        <v>168</v>
      </c>
      <c r="B170" s="3175" t="s">
        <v>3594</v>
      </c>
      <c r="C170" s="3176">
        <v>113.06</v>
      </c>
      <c r="D170" s="3176">
        <v>35.6</v>
      </c>
      <c r="F170" s="3177">
        <v>168</v>
      </c>
      <c r="G170" s="3175" t="s">
        <v>3586</v>
      </c>
      <c r="H170" s="3178">
        <v>-1009</v>
      </c>
      <c r="I170" s="3179">
        <v>15.06</v>
      </c>
      <c r="J170" s="3179">
        <v>4.74</v>
      </c>
      <c r="L170" s="3177">
        <v>168</v>
      </c>
      <c r="M170" s="3175">
        <v>-10141</v>
      </c>
      <c r="N170" s="3175" t="s">
        <v>3423</v>
      </c>
      <c r="O170" s="3176">
        <v>23.43</v>
      </c>
      <c r="P170" s="3176">
        <v>7.38</v>
      </c>
    </row>
    <row r="171" spans="1:16" ht="15" thickBot="1">
      <c r="A171" s="3174">
        <v>169</v>
      </c>
      <c r="B171" s="3175" t="s">
        <v>3595</v>
      </c>
      <c r="C171" s="3176">
        <v>113.17</v>
      </c>
      <c r="D171" s="3176">
        <v>35.630000000000003</v>
      </c>
      <c r="F171" s="3177">
        <v>169</v>
      </c>
      <c r="G171" s="3175" t="s">
        <v>3586</v>
      </c>
      <c r="H171" s="3178">
        <v>-1010</v>
      </c>
      <c r="I171" s="3179">
        <v>14.2</v>
      </c>
      <c r="J171" s="3179">
        <v>4.47</v>
      </c>
      <c r="L171" s="3177">
        <v>169</v>
      </c>
      <c r="M171" s="3175">
        <v>-10142</v>
      </c>
      <c r="N171" s="3175" t="s">
        <v>3423</v>
      </c>
      <c r="O171" s="3176">
        <v>23.43</v>
      </c>
      <c r="P171" s="3176">
        <v>7.38</v>
      </c>
    </row>
    <row r="172" spans="1:16" ht="15" thickBot="1">
      <c r="A172" s="3174">
        <v>170</v>
      </c>
      <c r="B172" s="3175" t="s">
        <v>3596</v>
      </c>
      <c r="C172" s="3176">
        <v>89.34</v>
      </c>
      <c r="D172" s="3176">
        <v>28.13</v>
      </c>
      <c r="F172" s="3177">
        <v>170</v>
      </c>
      <c r="G172" s="3175" t="s">
        <v>3586</v>
      </c>
      <c r="H172" s="3178">
        <v>-1011</v>
      </c>
      <c r="I172" s="3179">
        <v>14.2</v>
      </c>
      <c r="J172" s="3179">
        <v>4.47</v>
      </c>
      <c r="L172" s="3177">
        <v>170</v>
      </c>
      <c r="M172" s="3175">
        <v>-10143</v>
      </c>
      <c r="N172" s="3175" t="s">
        <v>3423</v>
      </c>
      <c r="O172" s="3176">
        <v>23.43</v>
      </c>
      <c r="P172" s="3176">
        <v>7.38</v>
      </c>
    </row>
    <row r="173" spans="1:16" ht="15" thickBot="1">
      <c r="A173" s="3174">
        <v>171</v>
      </c>
      <c r="B173" s="3175" t="s">
        <v>3597</v>
      </c>
      <c r="C173" s="3176">
        <v>89.34</v>
      </c>
      <c r="D173" s="3176">
        <v>28.13</v>
      </c>
      <c r="F173" s="3177">
        <v>171</v>
      </c>
      <c r="G173" s="3175" t="s">
        <v>3586</v>
      </c>
      <c r="H173" s="3178">
        <v>-1012</v>
      </c>
      <c r="I173" s="3179">
        <v>12.8</v>
      </c>
      <c r="J173" s="3179">
        <v>4.03</v>
      </c>
      <c r="L173" s="3177">
        <v>171</v>
      </c>
      <c r="M173" s="3175">
        <v>-10144</v>
      </c>
      <c r="N173" s="3175" t="s">
        <v>3423</v>
      </c>
      <c r="O173" s="3176">
        <v>23.43</v>
      </c>
      <c r="P173" s="3176">
        <v>7.38</v>
      </c>
    </row>
    <row r="174" spans="1:16" ht="15" thickBot="1">
      <c r="A174" s="3174">
        <v>172</v>
      </c>
      <c r="B174" s="3175" t="s">
        <v>3598</v>
      </c>
      <c r="C174" s="3176">
        <v>89.62</v>
      </c>
      <c r="D174" s="3176">
        <v>28.22</v>
      </c>
      <c r="F174" s="3177">
        <v>172</v>
      </c>
      <c r="G174" s="3175" t="s">
        <v>3586</v>
      </c>
      <c r="H174" s="3178">
        <v>-1013</v>
      </c>
      <c r="I174" s="3179">
        <v>12.8</v>
      </c>
      <c r="J174" s="3179">
        <v>4.03</v>
      </c>
      <c r="L174" s="3177">
        <v>172</v>
      </c>
      <c r="M174" s="3175">
        <v>-10145</v>
      </c>
      <c r="N174" s="3175" t="s">
        <v>3423</v>
      </c>
      <c r="O174" s="3176">
        <v>23.43</v>
      </c>
      <c r="P174" s="3176">
        <v>7.38</v>
      </c>
    </row>
    <row r="175" spans="1:16" ht="15" thickBot="1">
      <c r="A175" s="3174">
        <v>173</v>
      </c>
      <c r="B175" s="3175" t="s">
        <v>3599</v>
      </c>
      <c r="C175" s="3176">
        <v>113.17</v>
      </c>
      <c r="D175" s="3176">
        <v>35.630000000000003</v>
      </c>
      <c r="F175" s="3177">
        <v>173</v>
      </c>
      <c r="G175" s="3175" t="s">
        <v>3586</v>
      </c>
      <c r="H175" s="3178">
        <v>-1014</v>
      </c>
      <c r="I175" s="3179">
        <v>14.2</v>
      </c>
      <c r="J175" s="3179">
        <v>4.47</v>
      </c>
      <c r="L175" s="3177">
        <v>173</v>
      </c>
      <c r="M175" s="3175">
        <v>-10146</v>
      </c>
      <c r="N175" s="3175" t="s">
        <v>3423</v>
      </c>
      <c r="O175" s="3176">
        <v>23.43</v>
      </c>
      <c r="P175" s="3176">
        <v>7.38</v>
      </c>
    </row>
    <row r="176" spans="1:16" ht="15" thickBot="1">
      <c r="A176" s="3174">
        <v>174</v>
      </c>
      <c r="B176" s="3175" t="s">
        <v>3600</v>
      </c>
      <c r="C176" s="3176">
        <v>89.34</v>
      </c>
      <c r="D176" s="3176">
        <v>28.13</v>
      </c>
      <c r="F176" s="3177">
        <v>174</v>
      </c>
      <c r="G176" s="3175" t="s">
        <v>3586</v>
      </c>
      <c r="H176" s="3178">
        <v>-1015</v>
      </c>
      <c r="I176" s="3179">
        <v>14.2</v>
      </c>
      <c r="J176" s="3179">
        <v>4.47</v>
      </c>
      <c r="L176" s="3177">
        <v>174</v>
      </c>
      <c r="M176" s="3175">
        <v>-10147</v>
      </c>
      <c r="N176" s="3175" t="s">
        <v>3423</v>
      </c>
      <c r="O176" s="3176">
        <v>23.43</v>
      </c>
      <c r="P176" s="3176">
        <v>7.38</v>
      </c>
    </row>
    <row r="177" spans="1:16" ht="15" thickBot="1">
      <c r="A177" s="3174">
        <v>175</v>
      </c>
      <c r="B177" s="3175" t="s">
        <v>3601</v>
      </c>
      <c r="C177" s="3176">
        <v>89.34</v>
      </c>
      <c r="D177" s="3176">
        <v>28.13</v>
      </c>
      <c r="F177" s="3177">
        <v>175</v>
      </c>
      <c r="G177" s="3175" t="s">
        <v>3586</v>
      </c>
      <c r="H177" s="3178">
        <v>-1016</v>
      </c>
      <c r="I177" s="3179">
        <v>12.96</v>
      </c>
      <c r="J177" s="3179">
        <v>4.08</v>
      </c>
      <c r="L177" s="3177">
        <v>175</v>
      </c>
      <c r="M177" s="3175">
        <v>-10148</v>
      </c>
      <c r="N177" s="3175" t="s">
        <v>3423</v>
      </c>
      <c r="O177" s="3176">
        <v>23.43</v>
      </c>
      <c r="P177" s="3176">
        <v>7.38</v>
      </c>
    </row>
    <row r="178" spans="1:16" ht="15" thickBot="1">
      <c r="A178" s="3174">
        <v>176</v>
      </c>
      <c r="B178" s="3175" t="s">
        <v>3602</v>
      </c>
      <c r="C178" s="3176">
        <v>89.62</v>
      </c>
      <c r="D178" s="3176">
        <v>28.22</v>
      </c>
      <c r="F178" s="3177">
        <v>176</v>
      </c>
      <c r="G178" s="3175" t="s">
        <v>3586</v>
      </c>
      <c r="H178" s="3178">
        <v>-1017</v>
      </c>
      <c r="I178" s="3179">
        <v>11.43</v>
      </c>
      <c r="J178" s="3179">
        <v>3.6</v>
      </c>
      <c r="L178" s="3177">
        <v>176</v>
      </c>
      <c r="M178" s="3175">
        <v>-10149</v>
      </c>
      <c r="N178" s="3175" t="s">
        <v>3423</v>
      </c>
      <c r="O178" s="3176">
        <v>23.43</v>
      </c>
      <c r="P178" s="3176">
        <v>7.38</v>
      </c>
    </row>
    <row r="179" spans="1:16" ht="15" thickBot="1">
      <c r="A179" s="3174">
        <v>177</v>
      </c>
      <c r="B179" s="3175" t="s">
        <v>3603</v>
      </c>
      <c r="C179" s="3176">
        <v>113.17</v>
      </c>
      <c r="D179" s="3176">
        <v>35.630000000000003</v>
      </c>
      <c r="F179" s="3177">
        <v>177</v>
      </c>
      <c r="G179" s="3175" t="s">
        <v>3586</v>
      </c>
      <c r="H179" s="3178">
        <v>-1018</v>
      </c>
      <c r="I179" s="3179">
        <v>11.53</v>
      </c>
      <c r="J179" s="3179">
        <v>3.63</v>
      </c>
      <c r="L179" s="3177">
        <v>177</v>
      </c>
      <c r="M179" s="3175">
        <v>-10150</v>
      </c>
      <c r="N179" s="3175" t="s">
        <v>3423</v>
      </c>
      <c r="O179" s="3176">
        <v>23.43</v>
      </c>
      <c r="P179" s="3176">
        <v>7.38</v>
      </c>
    </row>
    <row r="180" spans="1:16" ht="15" thickBot="1">
      <c r="A180" s="3174">
        <v>178</v>
      </c>
      <c r="B180" s="3175" t="s">
        <v>3604</v>
      </c>
      <c r="C180" s="3176">
        <v>89.34</v>
      </c>
      <c r="D180" s="3176">
        <v>28.13</v>
      </c>
      <c r="F180" s="3177">
        <v>178</v>
      </c>
      <c r="G180" s="3175" t="s">
        <v>3586</v>
      </c>
      <c r="H180" s="3178">
        <v>-1019</v>
      </c>
      <c r="I180" s="3179">
        <v>11.71</v>
      </c>
      <c r="J180" s="3179">
        <v>3.69</v>
      </c>
      <c r="L180" s="3177">
        <v>178</v>
      </c>
      <c r="M180" s="3175">
        <v>-10151</v>
      </c>
      <c r="N180" s="3175" t="s">
        <v>3423</v>
      </c>
      <c r="O180" s="3176">
        <v>23.43</v>
      </c>
      <c r="P180" s="3176">
        <v>7.38</v>
      </c>
    </row>
    <row r="181" spans="1:16" ht="15" thickBot="1">
      <c r="A181" s="3174">
        <v>179</v>
      </c>
      <c r="B181" s="3175" t="s">
        <v>3605</v>
      </c>
      <c r="C181" s="3176">
        <v>89.34</v>
      </c>
      <c r="D181" s="3176">
        <v>28.13</v>
      </c>
      <c r="F181" s="3177">
        <v>179</v>
      </c>
      <c r="G181" s="3175" t="s">
        <v>3586</v>
      </c>
      <c r="H181" s="3178">
        <v>-1020</v>
      </c>
      <c r="I181" s="3179">
        <v>14.94</v>
      </c>
      <c r="J181" s="3179">
        <v>4.7</v>
      </c>
      <c r="L181" s="3177">
        <v>179</v>
      </c>
      <c r="M181" s="3175">
        <v>-10152</v>
      </c>
      <c r="N181" s="3175" t="s">
        <v>3423</v>
      </c>
      <c r="O181" s="3176">
        <v>23.43</v>
      </c>
      <c r="P181" s="3176">
        <v>7.38</v>
      </c>
    </row>
    <row r="182" spans="1:16" ht="15" thickBot="1">
      <c r="A182" s="3174">
        <v>180</v>
      </c>
      <c r="B182" s="3175" t="s">
        <v>3606</v>
      </c>
      <c r="C182" s="3176">
        <v>89.62</v>
      </c>
      <c r="D182" s="3176">
        <v>28.22</v>
      </c>
      <c r="F182" s="3177">
        <v>180</v>
      </c>
      <c r="G182" s="3175" t="s">
        <v>3586</v>
      </c>
      <c r="H182" s="3178">
        <v>-1021</v>
      </c>
      <c r="I182" s="3179">
        <v>20.260000000000002</v>
      </c>
      <c r="J182" s="3179">
        <v>6.38</v>
      </c>
      <c r="L182" s="3177">
        <v>180</v>
      </c>
      <c r="M182" s="3175">
        <v>-10153</v>
      </c>
      <c r="N182" s="3175" t="s">
        <v>3423</v>
      </c>
      <c r="O182" s="3176">
        <v>23.43</v>
      </c>
      <c r="P182" s="3176">
        <v>7.38</v>
      </c>
    </row>
    <row r="183" spans="1:16" ht="15" thickBot="1">
      <c r="A183" s="3174">
        <v>181</v>
      </c>
      <c r="B183" s="3175" t="s">
        <v>3607</v>
      </c>
      <c r="C183" s="3176">
        <v>113.46</v>
      </c>
      <c r="D183" s="3176">
        <v>35.72</v>
      </c>
      <c r="F183" s="3177">
        <v>181</v>
      </c>
      <c r="G183" s="3175" t="s">
        <v>3586</v>
      </c>
      <c r="H183" s="3178">
        <v>-1022</v>
      </c>
      <c r="I183" s="3179">
        <v>9.56</v>
      </c>
      <c r="J183" s="3179">
        <v>3.01</v>
      </c>
      <c r="L183" s="3177">
        <v>181</v>
      </c>
      <c r="M183" s="3175">
        <v>-10154</v>
      </c>
      <c r="N183" s="3175" t="s">
        <v>3423</v>
      </c>
      <c r="O183" s="3176">
        <v>23.43</v>
      </c>
      <c r="P183" s="3176">
        <v>7.38</v>
      </c>
    </row>
    <row r="184" spans="1:16" ht="15" thickBot="1">
      <c r="A184" s="3174">
        <v>182</v>
      </c>
      <c r="B184" s="3175" t="s">
        <v>3608</v>
      </c>
      <c r="C184" s="3176">
        <v>89.29</v>
      </c>
      <c r="D184" s="3176">
        <v>28.11</v>
      </c>
      <c r="F184" s="3177">
        <v>182</v>
      </c>
      <c r="G184" s="3175" t="s">
        <v>3586</v>
      </c>
      <c r="H184" s="3178">
        <v>-1023</v>
      </c>
      <c r="I184" s="3179">
        <v>9.31</v>
      </c>
      <c r="J184" s="3179">
        <v>2.93</v>
      </c>
      <c r="L184" s="3177">
        <v>182</v>
      </c>
      <c r="M184" s="3175">
        <v>-10155</v>
      </c>
      <c r="N184" s="3175" t="s">
        <v>3423</v>
      </c>
      <c r="O184" s="3176">
        <v>23.43</v>
      </c>
      <c r="P184" s="3176">
        <v>7.38</v>
      </c>
    </row>
    <row r="185" spans="1:16" ht="15" thickBot="1">
      <c r="A185" s="3174">
        <v>183</v>
      </c>
      <c r="B185" s="3175" t="s">
        <v>3609</v>
      </c>
      <c r="C185" s="3176">
        <v>89.29</v>
      </c>
      <c r="D185" s="3176">
        <v>28.11</v>
      </c>
      <c r="F185" s="3177">
        <v>183</v>
      </c>
      <c r="G185" s="3175" t="s">
        <v>3586</v>
      </c>
      <c r="H185" s="3178">
        <v>-1024</v>
      </c>
      <c r="I185" s="3179">
        <v>10.92</v>
      </c>
      <c r="J185" s="3179">
        <v>3.44</v>
      </c>
      <c r="L185" s="3177">
        <v>183</v>
      </c>
      <c r="M185" s="3175">
        <v>-10156</v>
      </c>
      <c r="N185" s="3175" t="s">
        <v>3423</v>
      </c>
      <c r="O185" s="3176">
        <v>23.43</v>
      </c>
      <c r="P185" s="3176">
        <v>7.38</v>
      </c>
    </row>
    <row r="186" spans="1:16" ht="15" thickBot="1">
      <c r="A186" s="3174">
        <v>184</v>
      </c>
      <c r="B186" s="3175" t="s">
        <v>3610</v>
      </c>
      <c r="C186" s="3176">
        <v>89.57</v>
      </c>
      <c r="D186" s="3176">
        <v>28.2</v>
      </c>
      <c r="F186" s="3177">
        <v>184</v>
      </c>
      <c r="G186" s="3175" t="s">
        <v>3586</v>
      </c>
      <c r="H186" s="3178">
        <v>-1025</v>
      </c>
      <c r="I186" s="3179">
        <v>10.6</v>
      </c>
      <c r="J186" s="3179">
        <v>3.34</v>
      </c>
      <c r="L186" s="3177">
        <v>184</v>
      </c>
      <c r="M186" s="3175">
        <v>-10157</v>
      </c>
      <c r="N186" s="3175" t="s">
        <v>3423</v>
      </c>
      <c r="O186" s="3176">
        <v>23.43</v>
      </c>
      <c r="P186" s="3176">
        <v>7.38</v>
      </c>
    </row>
    <row r="187" spans="1:16" ht="15" thickBot="1">
      <c r="A187" s="3174">
        <v>185</v>
      </c>
      <c r="B187" s="3175" t="s">
        <v>3611</v>
      </c>
      <c r="C187" s="3176">
        <v>113.46</v>
      </c>
      <c r="D187" s="3176">
        <v>35.72</v>
      </c>
      <c r="F187" s="3177">
        <v>185</v>
      </c>
      <c r="G187" s="3175" t="s">
        <v>3586</v>
      </c>
      <c r="H187" s="3178">
        <v>-1026</v>
      </c>
      <c r="I187" s="3179">
        <v>11.22</v>
      </c>
      <c r="J187" s="3179">
        <v>3.53</v>
      </c>
      <c r="L187" s="3177">
        <v>185</v>
      </c>
      <c r="M187" s="3175">
        <v>-10158</v>
      </c>
      <c r="N187" s="3175" t="s">
        <v>3423</v>
      </c>
      <c r="O187" s="3176">
        <v>23.43</v>
      </c>
      <c r="P187" s="3176">
        <v>7.38</v>
      </c>
    </row>
    <row r="188" spans="1:16" ht="15" thickBot="1">
      <c r="A188" s="3174">
        <v>186</v>
      </c>
      <c r="B188" s="3175" t="s">
        <v>3612</v>
      </c>
      <c r="C188" s="3176">
        <v>89.29</v>
      </c>
      <c r="D188" s="3176">
        <v>28.11</v>
      </c>
      <c r="F188" s="3177">
        <v>186</v>
      </c>
      <c r="G188" s="3175" t="s">
        <v>3586</v>
      </c>
      <c r="H188" s="3178">
        <v>-1027</v>
      </c>
      <c r="I188" s="3179">
        <v>14.6</v>
      </c>
      <c r="J188" s="3179">
        <v>4.5999999999999996</v>
      </c>
      <c r="L188" s="3177">
        <v>186</v>
      </c>
      <c r="M188" s="3175">
        <v>-10159</v>
      </c>
      <c r="N188" s="3175" t="s">
        <v>3423</v>
      </c>
      <c r="O188" s="3176">
        <v>23.43</v>
      </c>
      <c r="P188" s="3176">
        <v>7.38</v>
      </c>
    </row>
    <row r="189" spans="1:16" ht="15" thickBot="1">
      <c r="A189" s="3174">
        <v>187</v>
      </c>
      <c r="B189" s="3175" t="s">
        <v>3613</v>
      </c>
      <c r="C189" s="3176">
        <v>89.29</v>
      </c>
      <c r="D189" s="3176">
        <v>28.11</v>
      </c>
      <c r="F189" s="3177">
        <v>187</v>
      </c>
      <c r="G189" s="3175" t="s">
        <v>3586</v>
      </c>
      <c r="H189" s="3178">
        <v>-1028</v>
      </c>
      <c r="I189" s="3179">
        <v>8.98</v>
      </c>
      <c r="J189" s="3179">
        <v>2.83</v>
      </c>
      <c r="L189" s="3177">
        <v>187</v>
      </c>
      <c r="M189" s="3175">
        <v>-10160</v>
      </c>
      <c r="N189" s="3175" t="s">
        <v>3423</v>
      </c>
      <c r="O189" s="3176">
        <v>23.43</v>
      </c>
      <c r="P189" s="3176">
        <v>7.38</v>
      </c>
    </row>
    <row r="190" spans="1:16" ht="15" thickBot="1">
      <c r="A190" s="3174">
        <v>188</v>
      </c>
      <c r="B190" s="3175" t="s">
        <v>3614</v>
      </c>
      <c r="C190" s="3176">
        <v>89.57</v>
      </c>
      <c r="D190" s="3176">
        <v>28.2</v>
      </c>
      <c r="F190" s="3177">
        <v>188</v>
      </c>
      <c r="G190" s="3175" t="s">
        <v>3586</v>
      </c>
      <c r="H190" s="3178">
        <v>-1029</v>
      </c>
      <c r="I190" s="3179">
        <v>8.98</v>
      </c>
      <c r="J190" s="3179">
        <v>2.83</v>
      </c>
      <c r="L190" s="3177">
        <v>188</v>
      </c>
      <c r="M190" s="3175">
        <v>-10161</v>
      </c>
      <c r="N190" s="3175" t="s">
        <v>3423</v>
      </c>
      <c r="O190" s="3176">
        <v>23.43</v>
      </c>
      <c r="P190" s="3176">
        <v>7.38</v>
      </c>
    </row>
    <row r="191" spans="1:16" ht="15" thickBot="1">
      <c r="A191" s="3174">
        <v>189</v>
      </c>
      <c r="B191" s="3175" t="s">
        <v>3615</v>
      </c>
      <c r="C191" s="3176">
        <v>113.46</v>
      </c>
      <c r="D191" s="3176">
        <v>35.72</v>
      </c>
      <c r="F191" s="3177">
        <v>189</v>
      </c>
      <c r="G191" s="3175" t="s">
        <v>3586</v>
      </c>
      <c r="H191" s="3178">
        <v>-1030</v>
      </c>
      <c r="I191" s="3179">
        <v>8.98</v>
      </c>
      <c r="J191" s="3179">
        <v>2.83</v>
      </c>
      <c r="L191" s="3177">
        <v>189</v>
      </c>
      <c r="M191" s="3175">
        <v>-10162</v>
      </c>
      <c r="N191" s="3175" t="s">
        <v>3423</v>
      </c>
      <c r="O191" s="3176">
        <v>23.43</v>
      </c>
      <c r="P191" s="3176">
        <v>7.38</v>
      </c>
    </row>
    <row r="192" spans="1:16" ht="15" thickBot="1">
      <c r="A192" s="3174">
        <v>190</v>
      </c>
      <c r="B192" s="3175" t="s">
        <v>3616</v>
      </c>
      <c r="C192" s="3176">
        <v>89.29</v>
      </c>
      <c r="D192" s="3176">
        <v>28.11</v>
      </c>
      <c r="F192" s="3177">
        <v>190</v>
      </c>
      <c r="G192" s="3175" t="s">
        <v>3586</v>
      </c>
      <c r="H192" s="3178">
        <v>-1031</v>
      </c>
      <c r="I192" s="3179">
        <v>8.98</v>
      </c>
      <c r="J192" s="3179">
        <v>2.83</v>
      </c>
      <c r="L192" s="3177">
        <v>190</v>
      </c>
      <c r="M192" s="3175">
        <v>-10163</v>
      </c>
      <c r="N192" s="3175" t="s">
        <v>3423</v>
      </c>
      <c r="O192" s="3176">
        <v>23.43</v>
      </c>
      <c r="P192" s="3176">
        <v>7.38</v>
      </c>
    </row>
    <row r="193" spans="1:16" ht="15" thickBot="1">
      <c r="A193" s="3174">
        <v>191</v>
      </c>
      <c r="B193" s="3175" t="s">
        <v>3617</v>
      </c>
      <c r="C193" s="3176">
        <v>89.29</v>
      </c>
      <c r="D193" s="3176">
        <v>28.11</v>
      </c>
      <c r="F193" s="3177">
        <v>191</v>
      </c>
      <c r="G193" s="3175" t="s">
        <v>3586</v>
      </c>
      <c r="H193" s="3178">
        <v>-1032</v>
      </c>
      <c r="I193" s="3179">
        <v>12.73</v>
      </c>
      <c r="J193" s="3179">
        <v>4.01</v>
      </c>
      <c r="L193" s="3177">
        <v>191</v>
      </c>
      <c r="M193" s="3175">
        <v>-10164</v>
      </c>
      <c r="N193" s="3175" t="s">
        <v>3423</v>
      </c>
      <c r="O193" s="3176">
        <v>23.43</v>
      </c>
      <c r="P193" s="3176">
        <v>7.38</v>
      </c>
    </row>
    <row r="194" spans="1:16" ht="15" thickBot="1">
      <c r="A194" s="3174">
        <v>192</v>
      </c>
      <c r="B194" s="3175" t="s">
        <v>3618</v>
      </c>
      <c r="C194" s="3176">
        <v>89.57</v>
      </c>
      <c r="D194" s="3176">
        <v>28.2</v>
      </c>
      <c r="F194" s="3177">
        <v>192</v>
      </c>
      <c r="G194" s="3175" t="s">
        <v>3586</v>
      </c>
      <c r="H194" s="3178">
        <v>-1033</v>
      </c>
      <c r="I194" s="3179">
        <v>12.52</v>
      </c>
      <c r="J194" s="3179">
        <v>3.94</v>
      </c>
      <c r="L194" s="3177">
        <v>192</v>
      </c>
      <c r="M194" s="3175">
        <v>-10165</v>
      </c>
      <c r="N194" s="3175" t="s">
        <v>3423</v>
      </c>
      <c r="O194" s="3176">
        <v>23.43</v>
      </c>
      <c r="P194" s="3176">
        <v>7.38</v>
      </c>
    </row>
    <row r="195" spans="1:16" ht="15" thickBot="1">
      <c r="A195" s="3174">
        <v>193</v>
      </c>
      <c r="B195" s="3175" t="s">
        <v>3619</v>
      </c>
      <c r="C195" s="3176">
        <v>113.82</v>
      </c>
      <c r="D195" s="3176">
        <v>35.83</v>
      </c>
      <c r="F195" s="3177">
        <v>193</v>
      </c>
      <c r="G195" s="3175" t="s">
        <v>3586</v>
      </c>
      <c r="H195" s="3178">
        <v>-1034</v>
      </c>
      <c r="I195" s="3179">
        <v>15.43</v>
      </c>
      <c r="J195" s="3179">
        <v>4.8600000000000003</v>
      </c>
      <c r="L195" s="3177">
        <v>193</v>
      </c>
      <c r="M195" s="3175">
        <v>-10166</v>
      </c>
      <c r="N195" s="3175" t="s">
        <v>3423</v>
      </c>
      <c r="O195" s="3176">
        <v>23.43</v>
      </c>
      <c r="P195" s="3176">
        <v>7.38</v>
      </c>
    </row>
    <row r="196" spans="1:16" ht="15" thickBot="1">
      <c r="A196" s="3174">
        <v>194</v>
      </c>
      <c r="B196" s="3175" t="s">
        <v>3620</v>
      </c>
      <c r="C196" s="3176">
        <v>59.35</v>
      </c>
      <c r="D196" s="3176">
        <v>18.690000000000001</v>
      </c>
      <c r="F196" s="3177">
        <v>194</v>
      </c>
      <c r="G196" s="3175" t="s">
        <v>3586</v>
      </c>
      <c r="H196" s="3178">
        <v>-1035</v>
      </c>
      <c r="I196" s="3179">
        <v>11.59</v>
      </c>
      <c r="J196" s="3179">
        <v>3.65</v>
      </c>
      <c r="L196" s="3177">
        <v>194</v>
      </c>
      <c r="M196" s="3175">
        <v>-10167</v>
      </c>
      <c r="N196" s="3175" t="s">
        <v>3423</v>
      </c>
      <c r="O196" s="3176">
        <v>23.43</v>
      </c>
      <c r="P196" s="3176">
        <v>7.38</v>
      </c>
    </row>
    <row r="197" spans="1:16" ht="15" thickBot="1">
      <c r="A197" s="3174">
        <v>195</v>
      </c>
      <c r="B197" s="3175" t="s">
        <v>3621</v>
      </c>
      <c r="C197" s="3176">
        <v>89.47</v>
      </c>
      <c r="D197" s="3176">
        <v>28.17</v>
      </c>
      <c r="F197" s="3177">
        <v>195</v>
      </c>
      <c r="G197" s="3175" t="s">
        <v>3586</v>
      </c>
      <c r="H197" s="3178">
        <v>-1036</v>
      </c>
      <c r="I197" s="3179">
        <v>11.59</v>
      </c>
      <c r="J197" s="3179">
        <v>3.65</v>
      </c>
      <c r="L197" s="3177">
        <v>195</v>
      </c>
      <c r="M197" s="3175">
        <v>-10168</v>
      </c>
      <c r="N197" s="3175" t="s">
        <v>3423</v>
      </c>
      <c r="O197" s="3176">
        <v>23.43</v>
      </c>
      <c r="P197" s="3176">
        <v>7.38</v>
      </c>
    </row>
    <row r="198" spans="1:16" ht="15" thickBot="1">
      <c r="A198" s="3174">
        <v>196</v>
      </c>
      <c r="B198" s="3175" t="s">
        <v>3622</v>
      </c>
      <c r="C198" s="3176">
        <v>89.85</v>
      </c>
      <c r="D198" s="3176">
        <v>28.29</v>
      </c>
      <c r="F198" s="3177">
        <v>196</v>
      </c>
      <c r="G198" s="3175" t="s">
        <v>3586</v>
      </c>
      <c r="H198" s="3178">
        <v>-1037</v>
      </c>
      <c r="I198" s="3179">
        <v>12.61</v>
      </c>
      <c r="J198" s="3179">
        <v>3.97</v>
      </c>
      <c r="L198" s="3177">
        <v>196</v>
      </c>
      <c r="M198" s="3175">
        <v>-10169</v>
      </c>
      <c r="N198" s="3175" t="s">
        <v>3423</v>
      </c>
      <c r="O198" s="3176">
        <v>23.43</v>
      </c>
      <c r="P198" s="3176">
        <v>7.38</v>
      </c>
    </row>
    <row r="199" spans="1:16" ht="15" thickBot="1">
      <c r="A199" s="3174">
        <v>197</v>
      </c>
      <c r="B199" s="3175" t="s">
        <v>3623</v>
      </c>
      <c r="C199" s="3176">
        <v>113.82</v>
      </c>
      <c r="D199" s="3176">
        <v>35.83</v>
      </c>
      <c r="F199" s="3177">
        <v>197</v>
      </c>
      <c r="G199" s="3175" t="s">
        <v>3586</v>
      </c>
      <c r="H199" s="3178">
        <v>-1038</v>
      </c>
      <c r="I199" s="3179">
        <v>12.29</v>
      </c>
      <c r="J199" s="3179">
        <v>3.87</v>
      </c>
      <c r="L199" s="3177">
        <v>197</v>
      </c>
      <c r="M199" s="3175">
        <v>-10170</v>
      </c>
      <c r="N199" s="3175" t="s">
        <v>3423</v>
      </c>
      <c r="O199" s="3176">
        <v>23.43</v>
      </c>
      <c r="P199" s="3176">
        <v>7.38</v>
      </c>
    </row>
    <row r="200" spans="1:16" ht="15" thickBot="1">
      <c r="A200" s="3174">
        <v>198</v>
      </c>
      <c r="B200" s="3175" t="s">
        <v>3624</v>
      </c>
      <c r="C200" s="3176">
        <v>89.57</v>
      </c>
      <c r="D200" s="3176">
        <v>28.2</v>
      </c>
      <c r="F200" s="3177">
        <v>198</v>
      </c>
      <c r="G200" s="3175" t="s">
        <v>3586</v>
      </c>
      <c r="H200" s="3178">
        <v>-1039</v>
      </c>
      <c r="I200" s="3179">
        <v>11.43</v>
      </c>
      <c r="J200" s="3179">
        <v>3.6</v>
      </c>
      <c r="L200" s="3177">
        <v>198</v>
      </c>
      <c r="M200" s="3175">
        <v>-10171</v>
      </c>
      <c r="N200" s="3175" t="s">
        <v>3423</v>
      </c>
      <c r="O200" s="3176">
        <v>23.43</v>
      </c>
      <c r="P200" s="3176">
        <v>7.38</v>
      </c>
    </row>
    <row r="201" spans="1:16" ht="15" thickBot="1">
      <c r="A201" s="3174">
        <v>199</v>
      </c>
      <c r="B201" s="3175" t="s">
        <v>3625</v>
      </c>
      <c r="C201" s="3176">
        <v>89.57</v>
      </c>
      <c r="D201" s="3176">
        <v>28.2</v>
      </c>
      <c r="F201" s="3177">
        <v>199</v>
      </c>
      <c r="G201" s="3175" t="s">
        <v>3586</v>
      </c>
      <c r="H201" s="3178">
        <v>-1040</v>
      </c>
      <c r="I201" s="3179">
        <v>10.81</v>
      </c>
      <c r="J201" s="3179">
        <v>3.4</v>
      </c>
      <c r="L201" s="3177">
        <v>199</v>
      </c>
      <c r="M201" s="3175">
        <v>-10172</v>
      </c>
      <c r="N201" s="3175" t="s">
        <v>3423</v>
      </c>
      <c r="O201" s="3176">
        <v>35.14</v>
      </c>
      <c r="P201" s="3176">
        <v>11.06</v>
      </c>
    </row>
    <row r="202" spans="1:16" ht="15" thickBot="1">
      <c r="A202" s="3174">
        <v>200</v>
      </c>
      <c r="B202" s="3175" t="s">
        <v>3626</v>
      </c>
      <c r="C202" s="3176">
        <v>89.85</v>
      </c>
      <c r="D202" s="3176">
        <v>28.29</v>
      </c>
      <c r="F202" s="3177">
        <v>200</v>
      </c>
      <c r="G202" s="3175" t="s">
        <v>3586</v>
      </c>
      <c r="H202" s="3178">
        <v>-1041</v>
      </c>
      <c r="I202" s="3179">
        <v>11.11</v>
      </c>
      <c r="J202" s="3179">
        <v>3.5</v>
      </c>
      <c r="L202" s="3177">
        <v>200</v>
      </c>
      <c r="M202" s="3175">
        <v>-10173</v>
      </c>
      <c r="N202" s="3175" t="s">
        <v>3423</v>
      </c>
      <c r="O202" s="3176">
        <v>23.43</v>
      </c>
      <c r="P202" s="3176">
        <v>7.38</v>
      </c>
    </row>
    <row r="203" spans="1:16" ht="15" thickBot="1">
      <c r="A203" s="3174">
        <v>201</v>
      </c>
      <c r="B203" s="3175" t="s">
        <v>3627</v>
      </c>
      <c r="C203" s="3176">
        <v>113.82</v>
      </c>
      <c r="D203" s="3176">
        <v>35.83</v>
      </c>
      <c r="F203" s="3177">
        <v>201</v>
      </c>
      <c r="G203" s="3175" t="s">
        <v>3586</v>
      </c>
      <c r="H203" s="3178">
        <v>-1042</v>
      </c>
      <c r="I203" s="3179">
        <v>12.52</v>
      </c>
      <c r="J203" s="3179">
        <v>3.94</v>
      </c>
      <c r="L203" s="3177">
        <v>201</v>
      </c>
      <c r="M203" s="3175">
        <v>-10174</v>
      </c>
      <c r="N203" s="3175" t="s">
        <v>3423</v>
      </c>
      <c r="O203" s="3176">
        <v>23.43</v>
      </c>
      <c r="P203" s="3176">
        <v>7.38</v>
      </c>
    </row>
    <row r="204" spans="1:16" ht="15" thickBot="1">
      <c r="A204" s="3174">
        <v>202</v>
      </c>
      <c r="B204" s="3175" t="s">
        <v>3628</v>
      </c>
      <c r="C204" s="3176">
        <v>89.57</v>
      </c>
      <c r="D204" s="3176">
        <v>28.2</v>
      </c>
      <c r="F204" s="3177">
        <v>202</v>
      </c>
      <c r="G204" s="3175" t="s">
        <v>3586</v>
      </c>
      <c r="H204" s="3178">
        <v>-1043</v>
      </c>
      <c r="I204" s="3179">
        <v>12.73</v>
      </c>
      <c r="J204" s="3179">
        <v>4.01</v>
      </c>
      <c r="L204" s="3177">
        <v>202</v>
      </c>
      <c r="M204" s="3175">
        <v>-10175</v>
      </c>
      <c r="N204" s="3175" t="s">
        <v>3423</v>
      </c>
      <c r="O204" s="3176">
        <v>23.43</v>
      </c>
      <c r="P204" s="3176">
        <v>7.38</v>
      </c>
    </row>
    <row r="205" spans="1:16" ht="15" thickBot="1">
      <c r="A205" s="3174">
        <v>203</v>
      </c>
      <c r="B205" s="3175" t="s">
        <v>3629</v>
      </c>
      <c r="C205" s="3176">
        <v>89.57</v>
      </c>
      <c r="D205" s="3176">
        <v>28.2</v>
      </c>
      <c r="F205" s="3177">
        <v>203</v>
      </c>
      <c r="G205" s="3175" t="s">
        <v>3586</v>
      </c>
      <c r="H205" s="3178">
        <v>-1044</v>
      </c>
      <c r="I205" s="3179">
        <v>8.98</v>
      </c>
      <c r="J205" s="3179">
        <v>2.83</v>
      </c>
      <c r="L205" s="3177">
        <v>203</v>
      </c>
      <c r="M205" s="3175">
        <v>-10176</v>
      </c>
      <c r="N205" s="3175" t="s">
        <v>3423</v>
      </c>
      <c r="O205" s="3176">
        <v>23.43</v>
      </c>
      <c r="P205" s="3176">
        <v>7.38</v>
      </c>
    </row>
    <row r="206" spans="1:16" ht="15" thickBot="1">
      <c r="A206" s="3174">
        <v>204</v>
      </c>
      <c r="B206" s="3175" t="s">
        <v>3630</v>
      </c>
      <c r="C206" s="3176">
        <v>89.85</v>
      </c>
      <c r="D206" s="3176">
        <v>28.29</v>
      </c>
      <c r="F206" s="3177">
        <v>204</v>
      </c>
      <c r="G206" s="3175" t="s">
        <v>3586</v>
      </c>
      <c r="H206" s="3178">
        <v>-1045</v>
      </c>
      <c r="I206" s="3179">
        <v>8.98</v>
      </c>
      <c r="J206" s="3179">
        <v>2.83</v>
      </c>
      <c r="L206" s="3177">
        <v>204</v>
      </c>
      <c r="M206" s="3175">
        <v>-10177</v>
      </c>
      <c r="N206" s="3175" t="s">
        <v>3423</v>
      </c>
      <c r="O206" s="3176">
        <v>23.43</v>
      </c>
      <c r="P206" s="3176">
        <v>7.38</v>
      </c>
    </row>
    <row r="207" spans="1:16" ht="15" thickBot="1">
      <c r="A207" s="3174">
        <v>205</v>
      </c>
      <c r="B207" s="3175" t="s">
        <v>3631</v>
      </c>
      <c r="C207" s="3176">
        <v>113.82</v>
      </c>
      <c r="D207" s="3176">
        <v>35.83</v>
      </c>
      <c r="F207" s="3177">
        <v>205</v>
      </c>
      <c r="G207" s="3175" t="s">
        <v>3586</v>
      </c>
      <c r="H207" s="3178">
        <v>-1046</v>
      </c>
      <c r="I207" s="3179">
        <v>8.98</v>
      </c>
      <c r="J207" s="3179">
        <v>2.83</v>
      </c>
      <c r="L207" s="3177">
        <v>205</v>
      </c>
      <c r="M207" s="3175">
        <v>-10178</v>
      </c>
      <c r="N207" s="3175" t="s">
        <v>3423</v>
      </c>
      <c r="O207" s="3176">
        <v>23.43</v>
      </c>
      <c r="P207" s="3176">
        <v>7.38</v>
      </c>
    </row>
    <row r="208" spans="1:16" ht="15" thickBot="1">
      <c r="A208" s="3174">
        <v>206</v>
      </c>
      <c r="B208" s="3175" t="s">
        <v>3632</v>
      </c>
      <c r="C208" s="3176">
        <v>89.57</v>
      </c>
      <c r="D208" s="3176">
        <v>28.2</v>
      </c>
      <c r="F208" s="3177">
        <v>206</v>
      </c>
      <c r="G208" s="3175" t="s">
        <v>3586</v>
      </c>
      <c r="H208" s="3178">
        <v>-1047</v>
      </c>
      <c r="I208" s="3179">
        <v>8.98</v>
      </c>
      <c r="J208" s="3179">
        <v>2.83</v>
      </c>
      <c r="L208" s="3177">
        <v>206</v>
      </c>
      <c r="M208" s="3175">
        <v>-10179</v>
      </c>
      <c r="N208" s="3175" t="s">
        <v>3423</v>
      </c>
      <c r="O208" s="3176">
        <v>23.43</v>
      </c>
      <c r="P208" s="3176">
        <v>7.38</v>
      </c>
    </row>
    <row r="209" spans="1:16" ht="15" thickBot="1">
      <c r="A209" s="3174">
        <v>207</v>
      </c>
      <c r="B209" s="3175" t="s">
        <v>3633</v>
      </c>
      <c r="C209" s="3176">
        <v>89.57</v>
      </c>
      <c r="D209" s="3176">
        <v>28.2</v>
      </c>
      <c r="F209" s="3177">
        <v>207</v>
      </c>
      <c r="G209" s="3175" t="s">
        <v>3586</v>
      </c>
      <c r="H209" s="3178">
        <v>-1048</v>
      </c>
      <c r="I209" s="3179">
        <v>12.91</v>
      </c>
      <c r="J209" s="3179">
        <v>4.0599999999999996</v>
      </c>
      <c r="L209" s="3177">
        <v>207</v>
      </c>
      <c r="M209" s="3175">
        <v>-10180</v>
      </c>
      <c r="N209" s="3175" t="s">
        <v>3423</v>
      </c>
      <c r="O209" s="3176">
        <v>23.43</v>
      </c>
      <c r="P209" s="3176">
        <v>7.38</v>
      </c>
    </row>
    <row r="210" spans="1:16" ht="15" thickBot="1">
      <c r="A210" s="3174">
        <v>208</v>
      </c>
      <c r="B210" s="3175" t="s">
        <v>3634</v>
      </c>
      <c r="C210" s="3176">
        <v>89.85</v>
      </c>
      <c r="D210" s="3176">
        <v>28.29</v>
      </c>
      <c r="F210" s="3177">
        <v>208</v>
      </c>
      <c r="G210" s="3175" t="s">
        <v>3586</v>
      </c>
      <c r="H210" s="3178">
        <v>-1049</v>
      </c>
      <c r="I210" s="3179">
        <v>12.68</v>
      </c>
      <c r="J210" s="3179">
        <v>3.99</v>
      </c>
      <c r="L210" s="3177">
        <v>208</v>
      </c>
      <c r="M210" s="3175">
        <v>-10181</v>
      </c>
      <c r="N210" s="3175" t="s">
        <v>3423</v>
      </c>
      <c r="O210" s="3176">
        <v>23.43</v>
      </c>
      <c r="P210" s="3176">
        <v>7.38</v>
      </c>
    </row>
    <row r="211" spans="1:16" ht="15" thickBot="1">
      <c r="A211" s="3174">
        <v>209</v>
      </c>
      <c r="B211" s="3175" t="s">
        <v>3635</v>
      </c>
      <c r="C211" s="3176">
        <v>113.82</v>
      </c>
      <c r="D211" s="3176">
        <v>35.83</v>
      </c>
      <c r="F211" s="3177">
        <v>209</v>
      </c>
      <c r="G211" s="3175" t="s">
        <v>3586</v>
      </c>
      <c r="H211" s="3178">
        <v>-1050</v>
      </c>
      <c r="I211" s="3179">
        <v>14.6</v>
      </c>
      <c r="J211" s="3179">
        <v>4.5999999999999996</v>
      </c>
      <c r="L211" s="3177">
        <v>209</v>
      </c>
      <c r="M211" s="3175">
        <v>-10182</v>
      </c>
      <c r="N211" s="3175" t="s">
        <v>3423</v>
      </c>
      <c r="O211" s="3176">
        <v>23.43</v>
      </c>
      <c r="P211" s="3176">
        <v>7.38</v>
      </c>
    </row>
    <row r="212" spans="1:16" ht="15" thickBot="1">
      <c r="A212" s="3174">
        <v>210</v>
      </c>
      <c r="B212" s="3175" t="s">
        <v>3636</v>
      </c>
      <c r="C212" s="3176">
        <v>89.57</v>
      </c>
      <c r="D212" s="3176">
        <v>28.2</v>
      </c>
      <c r="F212" s="3177">
        <v>210</v>
      </c>
      <c r="G212" s="3175" t="s">
        <v>3586</v>
      </c>
      <c r="H212" s="3178">
        <v>-1051</v>
      </c>
      <c r="I212" s="3179">
        <v>11.22</v>
      </c>
      <c r="J212" s="3179">
        <v>3.53</v>
      </c>
      <c r="L212" s="3177">
        <v>210</v>
      </c>
      <c r="M212" s="3175">
        <v>-10183</v>
      </c>
      <c r="N212" s="3175" t="s">
        <v>3423</v>
      </c>
      <c r="O212" s="3176">
        <v>23.43</v>
      </c>
      <c r="P212" s="3176">
        <v>7.38</v>
      </c>
    </row>
    <row r="213" spans="1:16" ht="15" thickBot="1">
      <c r="A213" s="3174">
        <v>211</v>
      </c>
      <c r="B213" s="3175" t="s">
        <v>3637</v>
      </c>
      <c r="C213" s="3176">
        <v>89.57</v>
      </c>
      <c r="D213" s="3176">
        <v>28.2</v>
      </c>
      <c r="F213" s="3177">
        <v>211</v>
      </c>
      <c r="G213" s="3175" t="s">
        <v>3586</v>
      </c>
      <c r="H213" s="3178">
        <v>-1052</v>
      </c>
      <c r="I213" s="3179">
        <v>10.6</v>
      </c>
      <c r="J213" s="3179">
        <v>3.34</v>
      </c>
      <c r="L213" s="3177">
        <v>211</v>
      </c>
      <c r="M213" s="3175">
        <v>-10184</v>
      </c>
      <c r="N213" s="3175" t="s">
        <v>3423</v>
      </c>
      <c r="O213" s="3176">
        <v>23.43</v>
      </c>
      <c r="P213" s="3176">
        <v>7.38</v>
      </c>
    </row>
    <row r="214" spans="1:16" ht="15" thickBot="1">
      <c r="A214" s="3174">
        <v>212</v>
      </c>
      <c r="B214" s="3175" t="s">
        <v>3638</v>
      </c>
      <c r="C214" s="3176">
        <v>89.85</v>
      </c>
      <c r="D214" s="3176">
        <v>28.29</v>
      </c>
      <c r="F214" s="3177">
        <v>212</v>
      </c>
      <c r="G214" s="3175" t="s">
        <v>3586</v>
      </c>
      <c r="H214" s="3178">
        <v>-1053</v>
      </c>
      <c r="I214" s="3179">
        <v>10.92</v>
      </c>
      <c r="J214" s="3179">
        <v>3.44</v>
      </c>
      <c r="L214" s="3177">
        <v>212</v>
      </c>
      <c r="M214" s="3175">
        <v>-10185</v>
      </c>
      <c r="N214" s="3175" t="s">
        <v>3423</v>
      </c>
      <c r="O214" s="3176">
        <v>23.43</v>
      </c>
      <c r="P214" s="3176">
        <v>7.38</v>
      </c>
    </row>
    <row r="215" spans="1:16" ht="15" thickBot="1">
      <c r="A215" s="3174">
        <v>213</v>
      </c>
      <c r="B215" s="3175" t="s">
        <v>3639</v>
      </c>
      <c r="C215" s="3176">
        <v>113.82</v>
      </c>
      <c r="D215" s="3176">
        <v>35.83</v>
      </c>
      <c r="F215" s="3177">
        <v>213</v>
      </c>
      <c r="G215" s="3175" t="s">
        <v>3640</v>
      </c>
      <c r="H215" s="3178">
        <v>-1001</v>
      </c>
      <c r="I215" s="3179">
        <v>18.190000000000001</v>
      </c>
      <c r="J215" s="3179">
        <v>5.73</v>
      </c>
      <c r="L215" s="3177">
        <v>213</v>
      </c>
      <c r="M215" s="3175">
        <v>-10186</v>
      </c>
      <c r="N215" s="3175" t="s">
        <v>3423</v>
      </c>
      <c r="O215" s="3176">
        <v>23.43</v>
      </c>
      <c r="P215" s="3176">
        <v>7.38</v>
      </c>
    </row>
    <row r="216" spans="1:16" ht="15" thickBot="1">
      <c r="A216" s="3174">
        <v>214</v>
      </c>
      <c r="B216" s="3175" t="s">
        <v>3641</v>
      </c>
      <c r="C216" s="3176">
        <v>89.57</v>
      </c>
      <c r="D216" s="3176">
        <v>28.2</v>
      </c>
      <c r="F216" s="3177">
        <v>214</v>
      </c>
      <c r="G216" s="3175" t="s">
        <v>3640</v>
      </c>
      <c r="H216" s="3178">
        <v>-1002</v>
      </c>
      <c r="I216" s="3179">
        <v>17.940000000000001</v>
      </c>
      <c r="J216" s="3179">
        <v>5.65</v>
      </c>
      <c r="L216" s="3177">
        <v>214</v>
      </c>
      <c r="M216" s="3175">
        <v>-10187</v>
      </c>
      <c r="N216" s="3175" t="s">
        <v>3423</v>
      </c>
      <c r="O216" s="3176">
        <v>23.43</v>
      </c>
      <c r="P216" s="3176">
        <v>7.38</v>
      </c>
    </row>
    <row r="217" spans="1:16" ht="15" thickBot="1">
      <c r="A217" s="3174">
        <v>215</v>
      </c>
      <c r="B217" s="3175" t="s">
        <v>3642</v>
      </c>
      <c r="C217" s="3176">
        <v>89.57</v>
      </c>
      <c r="D217" s="3176">
        <v>28.2</v>
      </c>
      <c r="F217" s="3177">
        <v>215</v>
      </c>
      <c r="G217" s="3175" t="s">
        <v>3640</v>
      </c>
      <c r="H217" s="3178">
        <v>-1003</v>
      </c>
      <c r="I217" s="3179">
        <v>16.260000000000002</v>
      </c>
      <c r="J217" s="3179">
        <v>5.12</v>
      </c>
      <c r="L217" s="3177">
        <v>215</v>
      </c>
      <c r="M217" s="3175">
        <v>-10188</v>
      </c>
      <c r="N217" s="3175" t="s">
        <v>3423</v>
      </c>
      <c r="O217" s="3176">
        <v>23.43</v>
      </c>
      <c r="P217" s="3176">
        <v>7.38</v>
      </c>
    </row>
    <row r="218" spans="1:16" ht="15" thickBot="1">
      <c r="A218" s="3174">
        <v>216</v>
      </c>
      <c r="B218" s="3175" t="s">
        <v>3643</v>
      </c>
      <c r="C218" s="3176">
        <v>89.85</v>
      </c>
      <c r="D218" s="3176">
        <v>28.29</v>
      </c>
      <c r="F218" s="3177">
        <v>216</v>
      </c>
      <c r="G218" s="3175" t="s">
        <v>3640</v>
      </c>
      <c r="H218" s="3178">
        <v>-1004</v>
      </c>
      <c r="I218" s="3179">
        <v>21.89</v>
      </c>
      <c r="J218" s="3179">
        <v>6.89</v>
      </c>
      <c r="L218" s="3177">
        <v>216</v>
      </c>
      <c r="M218" s="3175">
        <v>-10189</v>
      </c>
      <c r="N218" s="3175" t="s">
        <v>3423</v>
      </c>
      <c r="O218" s="3176">
        <v>23.43</v>
      </c>
      <c r="P218" s="3176">
        <v>7.38</v>
      </c>
    </row>
    <row r="219" spans="1:16" ht="15" thickBot="1">
      <c r="A219" s="3174">
        <v>217</v>
      </c>
      <c r="B219" s="3175" t="s">
        <v>3644</v>
      </c>
      <c r="C219" s="3176">
        <v>113.82</v>
      </c>
      <c r="D219" s="3176">
        <v>35.83</v>
      </c>
      <c r="F219" s="3177">
        <v>217</v>
      </c>
      <c r="G219" s="3175" t="s">
        <v>3640</v>
      </c>
      <c r="H219" s="3178">
        <v>-1005</v>
      </c>
      <c r="I219" s="3179">
        <v>10.18</v>
      </c>
      <c r="J219" s="3179">
        <v>3.21</v>
      </c>
      <c r="L219" s="3177">
        <v>217</v>
      </c>
      <c r="M219" s="3175">
        <v>-10190</v>
      </c>
      <c r="N219" s="3175" t="s">
        <v>3423</v>
      </c>
      <c r="O219" s="3176">
        <v>23.43</v>
      </c>
      <c r="P219" s="3176">
        <v>7.38</v>
      </c>
    </row>
    <row r="220" spans="1:16" ht="15" thickBot="1">
      <c r="A220" s="3174">
        <v>218</v>
      </c>
      <c r="B220" s="3175" t="s">
        <v>3645</v>
      </c>
      <c r="C220" s="3176">
        <v>89.57</v>
      </c>
      <c r="D220" s="3176">
        <v>28.2</v>
      </c>
      <c r="F220" s="3177">
        <v>218</v>
      </c>
      <c r="G220" s="3175" t="s">
        <v>3640</v>
      </c>
      <c r="H220" s="3178">
        <v>-1006</v>
      </c>
      <c r="I220" s="3179">
        <v>9.9</v>
      </c>
      <c r="J220" s="3179">
        <v>3.12</v>
      </c>
      <c r="L220" s="3177">
        <v>218</v>
      </c>
      <c r="M220" s="3175">
        <v>-10191</v>
      </c>
      <c r="N220" s="3175" t="s">
        <v>3423</v>
      </c>
      <c r="O220" s="3176">
        <v>23.43</v>
      </c>
      <c r="P220" s="3176">
        <v>7.38</v>
      </c>
    </row>
    <row r="221" spans="1:16" ht="15" thickBot="1">
      <c r="A221" s="3174">
        <v>219</v>
      </c>
      <c r="B221" s="3175" t="s">
        <v>3646</v>
      </c>
      <c r="C221" s="3176">
        <v>89.57</v>
      </c>
      <c r="D221" s="3176">
        <v>28.2</v>
      </c>
      <c r="F221" s="3177">
        <v>219</v>
      </c>
      <c r="G221" s="3175" t="s">
        <v>3640</v>
      </c>
      <c r="H221" s="3178">
        <v>-1007</v>
      </c>
      <c r="I221" s="3179">
        <v>15.45</v>
      </c>
      <c r="J221" s="3179">
        <v>4.8600000000000003</v>
      </c>
      <c r="L221" s="3177">
        <v>219</v>
      </c>
      <c r="M221" s="3175">
        <v>-10192</v>
      </c>
      <c r="N221" s="3175" t="s">
        <v>3423</v>
      </c>
      <c r="O221" s="3176">
        <v>23.43</v>
      </c>
      <c r="P221" s="3176">
        <v>7.38</v>
      </c>
    </row>
    <row r="222" spans="1:16" ht="15" thickBot="1">
      <c r="A222" s="3174">
        <v>220</v>
      </c>
      <c r="B222" s="3175" t="s">
        <v>3647</v>
      </c>
      <c r="C222" s="3176">
        <v>89.85</v>
      </c>
      <c r="D222" s="3176">
        <v>28.29</v>
      </c>
      <c r="F222" s="3177">
        <v>220</v>
      </c>
      <c r="G222" s="3175" t="s">
        <v>3640</v>
      </c>
      <c r="H222" s="3178">
        <v>-1008</v>
      </c>
      <c r="I222" s="3179">
        <v>14.98</v>
      </c>
      <c r="J222" s="3179">
        <v>4.72</v>
      </c>
      <c r="L222" s="3177">
        <v>220</v>
      </c>
      <c r="M222" s="3175">
        <v>-10193</v>
      </c>
      <c r="N222" s="3175" t="s">
        <v>3423</v>
      </c>
      <c r="O222" s="3176">
        <v>23.43</v>
      </c>
      <c r="P222" s="3176">
        <v>7.38</v>
      </c>
    </row>
    <row r="223" spans="1:16" ht="15" thickBot="1">
      <c r="A223" s="3174">
        <v>221</v>
      </c>
      <c r="B223" s="3175" t="s">
        <v>3648</v>
      </c>
      <c r="C223" s="3176">
        <v>113.82</v>
      </c>
      <c r="D223" s="3176">
        <v>35.83</v>
      </c>
      <c r="F223" s="3177">
        <v>221</v>
      </c>
      <c r="G223" s="3175" t="s">
        <v>3640</v>
      </c>
      <c r="H223" s="3178">
        <v>-1009</v>
      </c>
      <c r="I223" s="3179">
        <v>15.45</v>
      </c>
      <c r="J223" s="3179">
        <v>4.8600000000000003</v>
      </c>
      <c r="L223" s="3177">
        <v>221</v>
      </c>
      <c r="M223" s="3175">
        <v>-10194</v>
      </c>
      <c r="N223" s="3175" t="s">
        <v>3423</v>
      </c>
      <c r="O223" s="3176">
        <v>23.43</v>
      </c>
      <c r="P223" s="3176">
        <v>7.38</v>
      </c>
    </row>
    <row r="224" spans="1:16" ht="15" thickBot="1">
      <c r="A224" s="3174">
        <v>222</v>
      </c>
      <c r="B224" s="3175" t="s">
        <v>3649</v>
      </c>
      <c r="C224" s="3176">
        <v>89.57</v>
      </c>
      <c r="D224" s="3176">
        <v>28.2</v>
      </c>
      <c r="F224" s="3177">
        <v>222</v>
      </c>
      <c r="G224" s="3175" t="s">
        <v>3640</v>
      </c>
      <c r="H224" s="3178">
        <v>-1010</v>
      </c>
      <c r="I224" s="3179">
        <v>15.45</v>
      </c>
      <c r="J224" s="3179">
        <v>4.8600000000000003</v>
      </c>
      <c r="L224" s="3177">
        <v>222</v>
      </c>
      <c r="M224" s="3175">
        <v>-10195</v>
      </c>
      <c r="N224" s="3175" t="s">
        <v>3423</v>
      </c>
      <c r="O224" s="3176">
        <v>23.43</v>
      </c>
      <c r="P224" s="3176">
        <v>7.38</v>
      </c>
    </row>
    <row r="225" spans="1:16" ht="15" thickBot="1">
      <c r="A225" s="3174">
        <v>223</v>
      </c>
      <c r="B225" s="3175" t="s">
        <v>3650</v>
      </c>
      <c r="C225" s="3176">
        <v>89.57</v>
      </c>
      <c r="D225" s="3176">
        <v>28.2</v>
      </c>
      <c r="F225" s="3177">
        <v>223</v>
      </c>
      <c r="G225" s="3175" t="s">
        <v>3640</v>
      </c>
      <c r="H225" s="3178">
        <v>-1011</v>
      </c>
      <c r="I225" s="3179">
        <v>15.45</v>
      </c>
      <c r="J225" s="3179">
        <v>4.8600000000000003</v>
      </c>
      <c r="L225" s="3177">
        <v>223</v>
      </c>
      <c r="M225" s="3175">
        <v>-10196</v>
      </c>
      <c r="N225" s="3175" t="s">
        <v>3423</v>
      </c>
      <c r="O225" s="3176">
        <v>23.43</v>
      </c>
      <c r="P225" s="3176">
        <v>7.38</v>
      </c>
    </row>
    <row r="226" spans="1:16" ht="15" thickBot="1">
      <c r="A226" s="3174">
        <v>224</v>
      </c>
      <c r="B226" s="3175" t="s">
        <v>3651</v>
      </c>
      <c r="C226" s="3176">
        <v>89.85</v>
      </c>
      <c r="D226" s="3176">
        <v>28.29</v>
      </c>
      <c r="F226" s="3177">
        <v>224</v>
      </c>
      <c r="G226" s="3175" t="s">
        <v>3640</v>
      </c>
      <c r="H226" s="3178">
        <v>-1012</v>
      </c>
      <c r="I226" s="3179">
        <v>8.3699999999999992</v>
      </c>
      <c r="J226" s="3179">
        <v>2.64</v>
      </c>
      <c r="L226" s="3177">
        <v>224</v>
      </c>
      <c r="M226" s="3175">
        <v>-10197</v>
      </c>
      <c r="N226" s="3175" t="s">
        <v>3423</v>
      </c>
      <c r="O226" s="3176">
        <v>23.43</v>
      </c>
      <c r="P226" s="3176">
        <v>7.38</v>
      </c>
    </row>
    <row r="227" spans="1:16" ht="15" thickBot="1">
      <c r="A227" s="3174">
        <v>225</v>
      </c>
      <c r="B227" s="3175" t="s">
        <v>3652</v>
      </c>
      <c r="C227" s="3176">
        <v>113.82</v>
      </c>
      <c r="D227" s="3176">
        <v>35.83</v>
      </c>
      <c r="F227" s="3177">
        <v>225</v>
      </c>
      <c r="G227" s="3175" t="s">
        <v>3640</v>
      </c>
      <c r="H227" s="3178">
        <v>-1013</v>
      </c>
      <c r="I227" s="3179">
        <v>8.82</v>
      </c>
      <c r="J227" s="3179">
        <v>2.78</v>
      </c>
      <c r="L227" s="3177">
        <v>225</v>
      </c>
      <c r="M227" s="3175">
        <v>-10198</v>
      </c>
      <c r="N227" s="3175" t="s">
        <v>3423</v>
      </c>
      <c r="O227" s="3176">
        <v>23.43</v>
      </c>
      <c r="P227" s="3176">
        <v>7.38</v>
      </c>
    </row>
    <row r="228" spans="1:16" ht="15" thickBot="1">
      <c r="A228" s="3174">
        <v>226</v>
      </c>
      <c r="B228" s="3175" t="s">
        <v>3653</v>
      </c>
      <c r="C228" s="3176">
        <v>89.57</v>
      </c>
      <c r="D228" s="3176">
        <v>28.2</v>
      </c>
      <c r="F228" s="3177">
        <v>226</v>
      </c>
      <c r="G228" s="3175" t="s">
        <v>3640</v>
      </c>
      <c r="H228" s="3178">
        <v>-1014</v>
      </c>
      <c r="I228" s="3179">
        <v>13.02</v>
      </c>
      <c r="J228" s="3179">
        <v>4.0999999999999996</v>
      </c>
      <c r="L228" s="3177">
        <v>226</v>
      </c>
      <c r="M228" s="3175">
        <v>-10199</v>
      </c>
      <c r="N228" s="3175" t="s">
        <v>3423</v>
      </c>
      <c r="O228" s="3176">
        <v>23.43</v>
      </c>
      <c r="P228" s="3176">
        <v>7.38</v>
      </c>
    </row>
    <row r="229" spans="1:16" ht="15" thickBot="1">
      <c r="A229" s="3174">
        <v>227</v>
      </c>
      <c r="B229" s="3175" t="s">
        <v>3654</v>
      </c>
      <c r="C229" s="3176">
        <v>89.57</v>
      </c>
      <c r="D229" s="3176">
        <v>28.2</v>
      </c>
      <c r="F229" s="3177">
        <v>227</v>
      </c>
      <c r="G229" s="3175" t="s">
        <v>3640</v>
      </c>
      <c r="H229" s="3178">
        <v>-1015</v>
      </c>
      <c r="I229" s="3179">
        <v>16.059999999999999</v>
      </c>
      <c r="J229" s="3179">
        <v>5.0599999999999996</v>
      </c>
      <c r="L229" s="3177">
        <v>227</v>
      </c>
      <c r="M229" s="3175">
        <v>-10200</v>
      </c>
      <c r="N229" s="3175" t="s">
        <v>3423</v>
      </c>
      <c r="O229" s="3176">
        <v>23.43</v>
      </c>
      <c r="P229" s="3176">
        <v>7.38</v>
      </c>
    </row>
    <row r="230" spans="1:16" ht="15" thickBot="1">
      <c r="A230" s="3174">
        <v>228</v>
      </c>
      <c r="B230" s="3175" t="s">
        <v>3655</v>
      </c>
      <c r="C230" s="3176">
        <v>89.85</v>
      </c>
      <c r="D230" s="3176">
        <v>28.29</v>
      </c>
      <c r="F230" s="3177">
        <v>228</v>
      </c>
      <c r="G230" s="3175" t="s">
        <v>3640</v>
      </c>
      <c r="H230" s="3178">
        <v>-1016</v>
      </c>
      <c r="I230" s="3179">
        <v>9.6999999999999993</v>
      </c>
      <c r="J230" s="3179">
        <v>3.05</v>
      </c>
      <c r="L230" s="3177">
        <v>228</v>
      </c>
      <c r="M230" s="3175">
        <v>-10201</v>
      </c>
      <c r="N230" s="3175" t="s">
        <v>3423</v>
      </c>
      <c r="O230" s="3176">
        <v>23.43</v>
      </c>
      <c r="P230" s="3176">
        <v>7.38</v>
      </c>
    </row>
    <row r="231" spans="1:16" ht="15" thickBot="1">
      <c r="A231" s="3174">
        <v>229</v>
      </c>
      <c r="B231" s="3175" t="s">
        <v>3656</v>
      </c>
      <c r="C231" s="3176">
        <v>113.82</v>
      </c>
      <c r="D231" s="3176">
        <v>35.83</v>
      </c>
      <c r="F231" s="3177">
        <v>229</v>
      </c>
      <c r="G231" s="3175" t="s">
        <v>3640</v>
      </c>
      <c r="H231" s="3178">
        <v>-1017</v>
      </c>
      <c r="I231" s="3179">
        <v>9.7799999999999994</v>
      </c>
      <c r="J231" s="3179">
        <v>3.08</v>
      </c>
      <c r="L231" s="3177">
        <v>229</v>
      </c>
      <c r="M231" s="3175">
        <v>-10202</v>
      </c>
      <c r="N231" s="3175" t="s">
        <v>3423</v>
      </c>
      <c r="O231" s="3176">
        <v>23.43</v>
      </c>
      <c r="P231" s="3176">
        <v>7.38</v>
      </c>
    </row>
    <row r="232" spans="1:16" ht="15" thickBot="1">
      <c r="A232" s="3174">
        <v>230</v>
      </c>
      <c r="B232" s="3175" t="s">
        <v>3657</v>
      </c>
      <c r="C232" s="3176">
        <v>89.57</v>
      </c>
      <c r="D232" s="3176">
        <v>28.2</v>
      </c>
      <c r="F232" s="3177">
        <v>230</v>
      </c>
      <c r="G232" s="3175" t="s">
        <v>3640</v>
      </c>
      <c r="H232" s="3178">
        <v>-1018</v>
      </c>
      <c r="I232" s="3179">
        <v>9.7799999999999994</v>
      </c>
      <c r="J232" s="3179">
        <v>3.08</v>
      </c>
      <c r="L232" s="3177">
        <v>230</v>
      </c>
      <c r="M232" s="3175">
        <v>-10203</v>
      </c>
      <c r="N232" s="3175" t="s">
        <v>3423</v>
      </c>
      <c r="O232" s="3176">
        <v>23.43</v>
      </c>
      <c r="P232" s="3176">
        <v>7.38</v>
      </c>
    </row>
    <row r="233" spans="1:16" ht="15" thickBot="1">
      <c r="A233" s="3174">
        <v>231</v>
      </c>
      <c r="B233" s="3175" t="s">
        <v>3658</v>
      </c>
      <c r="C233" s="3176">
        <v>89.57</v>
      </c>
      <c r="D233" s="3176">
        <v>28.2</v>
      </c>
      <c r="F233" s="3177">
        <v>231</v>
      </c>
      <c r="G233" s="3175" t="s">
        <v>3640</v>
      </c>
      <c r="H233" s="3178">
        <v>-1019</v>
      </c>
      <c r="I233" s="3179">
        <v>9.7799999999999994</v>
      </c>
      <c r="J233" s="3179">
        <v>3.08</v>
      </c>
      <c r="L233" s="3177">
        <v>231</v>
      </c>
      <c r="M233" s="3175">
        <v>-10204</v>
      </c>
      <c r="N233" s="3175" t="s">
        <v>3423</v>
      </c>
      <c r="O233" s="3176">
        <v>23.43</v>
      </c>
      <c r="P233" s="3176">
        <v>7.38</v>
      </c>
    </row>
    <row r="234" spans="1:16" ht="15" thickBot="1">
      <c r="A234" s="3174">
        <v>232</v>
      </c>
      <c r="B234" s="3175" t="s">
        <v>3659</v>
      </c>
      <c r="C234" s="3176">
        <v>89.85</v>
      </c>
      <c r="D234" s="3176">
        <v>28.29</v>
      </c>
      <c r="F234" s="3177">
        <v>232</v>
      </c>
      <c r="G234" s="3175" t="s">
        <v>3640</v>
      </c>
      <c r="H234" s="3178">
        <v>-1020</v>
      </c>
      <c r="I234" s="3179">
        <v>9.7799999999999994</v>
      </c>
      <c r="J234" s="3179">
        <v>3.08</v>
      </c>
      <c r="L234" s="3177">
        <v>232</v>
      </c>
      <c r="M234" s="3175">
        <v>-10205</v>
      </c>
      <c r="N234" s="3175" t="s">
        <v>3423</v>
      </c>
      <c r="O234" s="3176">
        <v>23.43</v>
      </c>
      <c r="P234" s="3176">
        <v>7.38</v>
      </c>
    </row>
    <row r="235" spans="1:16" ht="15" thickBot="1">
      <c r="A235" s="3174">
        <v>233</v>
      </c>
      <c r="B235" s="3175" t="s">
        <v>3660</v>
      </c>
      <c r="C235" s="3176">
        <v>113.82</v>
      </c>
      <c r="D235" s="3176">
        <v>35.83</v>
      </c>
      <c r="F235" s="3177">
        <v>233</v>
      </c>
      <c r="G235" s="3175" t="s">
        <v>3640</v>
      </c>
      <c r="H235" s="3178">
        <v>-1021</v>
      </c>
      <c r="I235" s="3179">
        <v>14.05</v>
      </c>
      <c r="J235" s="3179">
        <v>4.42</v>
      </c>
      <c r="L235" s="3177">
        <v>233</v>
      </c>
      <c r="M235" s="3175">
        <v>-10206</v>
      </c>
      <c r="N235" s="3175" t="s">
        <v>3423</v>
      </c>
      <c r="O235" s="3176">
        <v>23.43</v>
      </c>
      <c r="P235" s="3176">
        <v>7.38</v>
      </c>
    </row>
    <row r="236" spans="1:16" ht="15" thickBot="1">
      <c r="A236" s="3174">
        <v>234</v>
      </c>
      <c r="B236" s="3175" t="s">
        <v>3661</v>
      </c>
      <c r="C236" s="3176">
        <v>89.57</v>
      </c>
      <c r="D236" s="3176">
        <v>28.2</v>
      </c>
      <c r="F236" s="3177">
        <v>234</v>
      </c>
      <c r="G236" s="3175" t="s">
        <v>3640</v>
      </c>
      <c r="H236" s="3178">
        <v>-1022</v>
      </c>
      <c r="I236" s="3179">
        <v>13.8</v>
      </c>
      <c r="J236" s="3179">
        <v>4.34</v>
      </c>
      <c r="L236" s="3177">
        <v>234</v>
      </c>
      <c r="M236" s="3175">
        <v>-10207</v>
      </c>
      <c r="N236" s="3175" t="s">
        <v>3423</v>
      </c>
      <c r="O236" s="3176">
        <v>23.43</v>
      </c>
      <c r="P236" s="3176">
        <v>7.38</v>
      </c>
    </row>
    <row r="237" spans="1:16" ht="15" thickBot="1">
      <c r="A237" s="3174">
        <v>235</v>
      </c>
      <c r="B237" s="3175" t="s">
        <v>3662</v>
      </c>
      <c r="C237" s="3176">
        <v>89.57</v>
      </c>
      <c r="D237" s="3176">
        <v>28.2</v>
      </c>
      <c r="F237" s="3177">
        <v>235</v>
      </c>
      <c r="G237" s="3175" t="s">
        <v>3640</v>
      </c>
      <c r="H237" s="3178">
        <v>-1023</v>
      </c>
      <c r="I237" s="3179">
        <v>15.88</v>
      </c>
      <c r="J237" s="3179">
        <v>5</v>
      </c>
      <c r="L237" s="3177">
        <v>235</v>
      </c>
      <c r="M237" s="3175">
        <v>-10208</v>
      </c>
      <c r="N237" s="3175" t="s">
        <v>3423</v>
      </c>
      <c r="O237" s="3176">
        <v>23.43</v>
      </c>
      <c r="P237" s="3176">
        <v>7.38</v>
      </c>
    </row>
    <row r="238" spans="1:16" ht="15" thickBot="1">
      <c r="A238" s="3174">
        <v>236</v>
      </c>
      <c r="B238" s="3175" t="s">
        <v>3663</v>
      </c>
      <c r="C238" s="3176">
        <v>89.85</v>
      </c>
      <c r="D238" s="3176">
        <v>28.29</v>
      </c>
      <c r="F238" s="3177">
        <v>236</v>
      </c>
      <c r="G238" s="3175" t="s">
        <v>3640</v>
      </c>
      <c r="H238" s="3178">
        <v>-1024</v>
      </c>
      <c r="I238" s="3179">
        <v>11.89</v>
      </c>
      <c r="J238" s="3179">
        <v>3.74</v>
      </c>
      <c r="L238" s="3177">
        <v>236</v>
      </c>
      <c r="M238" s="3175">
        <v>-10209</v>
      </c>
      <c r="N238" s="3175" t="s">
        <v>3423</v>
      </c>
      <c r="O238" s="3176">
        <v>23.43</v>
      </c>
      <c r="P238" s="3176">
        <v>7.38</v>
      </c>
    </row>
    <row r="239" spans="1:16" ht="15" thickBot="1">
      <c r="A239" s="3174">
        <v>237</v>
      </c>
      <c r="B239" s="3175" t="s">
        <v>3664</v>
      </c>
      <c r="C239" s="3176">
        <v>113.82</v>
      </c>
      <c r="D239" s="3176">
        <v>35.83</v>
      </c>
      <c r="F239" s="3177">
        <v>237</v>
      </c>
      <c r="G239" s="3175" t="s">
        <v>3640</v>
      </c>
      <c r="H239" s="3178">
        <v>-1025</v>
      </c>
      <c r="I239" s="3179">
        <v>11.53</v>
      </c>
      <c r="J239" s="3179">
        <v>3.63</v>
      </c>
      <c r="L239" s="3177">
        <v>237</v>
      </c>
      <c r="M239" s="3175">
        <v>-10210</v>
      </c>
      <c r="N239" s="3175" t="s">
        <v>3423</v>
      </c>
      <c r="O239" s="3176">
        <v>23.43</v>
      </c>
      <c r="P239" s="3176">
        <v>7.38</v>
      </c>
    </row>
    <row r="240" spans="1:16" ht="15" thickBot="1">
      <c r="A240" s="3174">
        <v>238</v>
      </c>
      <c r="B240" s="3175" t="s">
        <v>3665</v>
      </c>
      <c r="C240" s="3176">
        <v>89.57</v>
      </c>
      <c r="D240" s="3176">
        <v>28.2</v>
      </c>
      <c r="F240" s="3177">
        <v>238</v>
      </c>
      <c r="G240" s="3175" t="s">
        <v>3666</v>
      </c>
      <c r="H240" s="3178">
        <v>-2001</v>
      </c>
      <c r="I240" s="3179">
        <v>9.8699999999999992</v>
      </c>
      <c r="J240" s="3179">
        <v>3.11</v>
      </c>
      <c r="L240" s="3177">
        <v>238</v>
      </c>
      <c r="M240" s="3175">
        <v>-10211</v>
      </c>
      <c r="N240" s="3175" t="s">
        <v>3423</v>
      </c>
      <c r="O240" s="3176">
        <v>23.43</v>
      </c>
      <c r="P240" s="3176">
        <v>7.38</v>
      </c>
    </row>
    <row r="241" spans="1:16" ht="15" thickBot="1">
      <c r="A241" s="3174">
        <v>239</v>
      </c>
      <c r="B241" s="3175" t="s">
        <v>3667</v>
      </c>
      <c r="C241" s="3176">
        <v>89.57</v>
      </c>
      <c r="D241" s="3176">
        <v>28.2</v>
      </c>
      <c r="F241" s="3177">
        <v>239</v>
      </c>
      <c r="G241" s="3175" t="s">
        <v>3666</v>
      </c>
      <c r="H241" s="3178">
        <v>-2002</v>
      </c>
      <c r="I241" s="3179">
        <v>8.6999999999999993</v>
      </c>
      <c r="J241" s="3179">
        <v>2.74</v>
      </c>
      <c r="L241" s="3177">
        <v>239</v>
      </c>
      <c r="M241" s="3175">
        <v>-10212</v>
      </c>
      <c r="N241" s="3175" t="s">
        <v>3423</v>
      </c>
      <c r="O241" s="3176">
        <v>23.43</v>
      </c>
      <c r="P241" s="3176">
        <v>7.38</v>
      </c>
    </row>
    <row r="242" spans="1:16" ht="15" thickBot="1">
      <c r="A242" s="3174">
        <v>240</v>
      </c>
      <c r="B242" s="3175" t="s">
        <v>3668</v>
      </c>
      <c r="C242" s="3176">
        <v>89.85</v>
      </c>
      <c r="D242" s="3176">
        <v>28.29</v>
      </c>
      <c r="F242" s="3177">
        <v>240</v>
      </c>
      <c r="G242" s="3175" t="s">
        <v>3666</v>
      </c>
      <c r="H242" s="3178">
        <v>-2003</v>
      </c>
      <c r="I242" s="3179">
        <v>13.55</v>
      </c>
      <c r="J242" s="3179">
        <v>4.2699999999999996</v>
      </c>
      <c r="L242" s="3177">
        <v>240</v>
      </c>
      <c r="M242" s="3175">
        <v>-10213</v>
      </c>
      <c r="N242" s="3175" t="s">
        <v>3423</v>
      </c>
      <c r="O242" s="3176">
        <v>23.43</v>
      </c>
      <c r="P242" s="3176">
        <v>7.38</v>
      </c>
    </row>
    <row r="243" spans="1:16" ht="15" thickBot="1">
      <c r="A243" s="3174">
        <v>241</v>
      </c>
      <c r="B243" s="3175" t="s">
        <v>3669</v>
      </c>
      <c r="C243" s="3176">
        <v>113.82</v>
      </c>
      <c r="D243" s="3176">
        <v>35.83</v>
      </c>
      <c r="F243" s="3177">
        <v>241</v>
      </c>
      <c r="G243" s="3175" t="s">
        <v>3666</v>
      </c>
      <c r="H243" s="3178">
        <v>-2004</v>
      </c>
      <c r="I243" s="3179">
        <v>9.2799999999999994</v>
      </c>
      <c r="J243" s="3179">
        <v>2.92</v>
      </c>
      <c r="L243" s="3177">
        <v>241</v>
      </c>
      <c r="M243" s="3175">
        <v>-10214</v>
      </c>
      <c r="N243" s="3175" t="s">
        <v>3423</v>
      </c>
      <c r="O243" s="3176">
        <v>23.43</v>
      </c>
      <c r="P243" s="3176">
        <v>7.38</v>
      </c>
    </row>
    <row r="244" spans="1:16" ht="15" thickBot="1">
      <c r="A244" s="3174">
        <v>242</v>
      </c>
      <c r="B244" s="3175" t="s">
        <v>3670</v>
      </c>
      <c r="C244" s="3176">
        <v>89.57</v>
      </c>
      <c r="D244" s="3176">
        <v>28.2</v>
      </c>
      <c r="F244" s="3177">
        <v>242</v>
      </c>
      <c r="G244" s="3175" t="s">
        <v>3666</v>
      </c>
      <c r="H244" s="3178">
        <v>-2005</v>
      </c>
      <c r="I244" s="3179">
        <v>12.6</v>
      </c>
      <c r="J244" s="3179">
        <v>3.97</v>
      </c>
      <c r="L244" s="3177">
        <v>242</v>
      </c>
      <c r="M244" s="3175">
        <v>-10215</v>
      </c>
      <c r="N244" s="3175" t="s">
        <v>3423</v>
      </c>
      <c r="O244" s="3176">
        <v>23.43</v>
      </c>
      <c r="P244" s="3176">
        <v>7.38</v>
      </c>
    </row>
    <row r="245" spans="1:16" ht="15" thickBot="1">
      <c r="A245" s="3174">
        <v>243</v>
      </c>
      <c r="B245" s="3175" t="s">
        <v>3671</v>
      </c>
      <c r="C245" s="3176">
        <v>89.57</v>
      </c>
      <c r="D245" s="3176">
        <v>28.2</v>
      </c>
      <c r="F245" s="3177">
        <v>243</v>
      </c>
      <c r="G245" s="3175" t="s">
        <v>3666</v>
      </c>
      <c r="H245" s="3178">
        <v>-2006</v>
      </c>
      <c r="I245" s="3179">
        <v>13.6</v>
      </c>
      <c r="J245" s="3179">
        <v>4.28</v>
      </c>
      <c r="L245" s="3177">
        <v>243</v>
      </c>
      <c r="M245" s="3175">
        <v>-10216</v>
      </c>
      <c r="N245" s="3175" t="s">
        <v>3423</v>
      </c>
      <c r="O245" s="3176">
        <v>23.43</v>
      </c>
      <c r="P245" s="3176">
        <v>7.38</v>
      </c>
    </row>
    <row r="246" spans="1:16" ht="15" thickBot="1">
      <c r="A246" s="3174">
        <v>244</v>
      </c>
      <c r="B246" s="3175" t="s">
        <v>3672</v>
      </c>
      <c r="C246" s="3176">
        <v>89.85</v>
      </c>
      <c r="D246" s="3176">
        <v>28.29</v>
      </c>
      <c r="F246" s="3177">
        <v>244</v>
      </c>
      <c r="G246" s="3175" t="s">
        <v>3666</v>
      </c>
      <c r="H246" s="3178">
        <v>-2007</v>
      </c>
      <c r="I246" s="3179">
        <v>7.12</v>
      </c>
      <c r="J246" s="3179">
        <v>2.2400000000000002</v>
      </c>
      <c r="L246" s="3177">
        <v>244</v>
      </c>
      <c r="M246" s="3175">
        <v>-10217</v>
      </c>
      <c r="N246" s="3175" t="s">
        <v>3423</v>
      </c>
      <c r="O246" s="3176">
        <v>23.43</v>
      </c>
      <c r="P246" s="3176">
        <v>7.38</v>
      </c>
    </row>
    <row r="247" spans="1:16" ht="15" thickBot="1">
      <c r="A247" s="3174">
        <v>245</v>
      </c>
      <c r="B247" s="3175" t="s">
        <v>3673</v>
      </c>
      <c r="C247" s="3176">
        <v>113.82</v>
      </c>
      <c r="D247" s="3176">
        <v>35.83</v>
      </c>
      <c r="F247" s="3177">
        <v>245</v>
      </c>
      <c r="G247" s="3175" t="s">
        <v>3666</v>
      </c>
      <c r="H247" s="3178">
        <v>-2008</v>
      </c>
      <c r="I247" s="3179">
        <v>6.93</v>
      </c>
      <c r="J247" s="3179">
        <v>2.1800000000000002</v>
      </c>
      <c r="L247" s="3177">
        <v>245</v>
      </c>
      <c r="M247" s="3175">
        <v>-10218</v>
      </c>
      <c r="N247" s="3175" t="s">
        <v>3423</v>
      </c>
      <c r="O247" s="3176">
        <v>23.43</v>
      </c>
      <c r="P247" s="3176">
        <v>7.38</v>
      </c>
    </row>
    <row r="248" spans="1:16" ht="15" thickBot="1">
      <c r="A248" s="3174">
        <v>246</v>
      </c>
      <c r="B248" s="3175" t="s">
        <v>3674</v>
      </c>
      <c r="C248" s="3176">
        <v>89.57</v>
      </c>
      <c r="D248" s="3176">
        <v>28.2</v>
      </c>
      <c r="F248" s="3177">
        <v>246</v>
      </c>
      <c r="G248" s="3175" t="s">
        <v>3666</v>
      </c>
      <c r="H248" s="3178">
        <v>-2009</v>
      </c>
      <c r="I248" s="3179">
        <v>9.2799999999999994</v>
      </c>
      <c r="J248" s="3179">
        <v>2.92</v>
      </c>
      <c r="L248" s="3177">
        <v>246</v>
      </c>
      <c r="M248" s="3175">
        <v>-10219</v>
      </c>
      <c r="N248" s="3175" t="s">
        <v>3423</v>
      </c>
      <c r="O248" s="3176">
        <v>23.43</v>
      </c>
      <c r="P248" s="3176">
        <v>7.38</v>
      </c>
    </row>
    <row r="249" spans="1:16" ht="15" thickBot="1">
      <c r="A249" s="3174">
        <v>247</v>
      </c>
      <c r="B249" s="3175" t="s">
        <v>3675</v>
      </c>
      <c r="C249" s="3176">
        <v>89.57</v>
      </c>
      <c r="D249" s="3176">
        <v>28.2</v>
      </c>
      <c r="F249" s="3177">
        <v>247</v>
      </c>
      <c r="G249" s="3175" t="s">
        <v>3666</v>
      </c>
      <c r="H249" s="3178">
        <v>-2010</v>
      </c>
      <c r="I249" s="3179">
        <v>10.88</v>
      </c>
      <c r="J249" s="3179">
        <v>3.43</v>
      </c>
      <c r="L249" s="3177">
        <v>247</v>
      </c>
      <c r="M249" s="3175">
        <v>-10220</v>
      </c>
      <c r="N249" s="3175" t="s">
        <v>3423</v>
      </c>
      <c r="O249" s="3176">
        <v>23.43</v>
      </c>
      <c r="P249" s="3176">
        <v>7.38</v>
      </c>
    </row>
    <row r="250" spans="1:16" ht="15" thickBot="1">
      <c r="A250" s="3174">
        <v>248</v>
      </c>
      <c r="B250" s="3175" t="s">
        <v>3676</v>
      </c>
      <c r="C250" s="3176">
        <v>89.85</v>
      </c>
      <c r="D250" s="3176">
        <v>28.29</v>
      </c>
      <c r="F250" s="3177">
        <v>248</v>
      </c>
      <c r="G250" s="3175" t="s">
        <v>3666</v>
      </c>
      <c r="H250" s="3178">
        <v>-2011</v>
      </c>
      <c r="I250" s="3179">
        <v>11.21</v>
      </c>
      <c r="J250" s="3179">
        <v>3.53</v>
      </c>
      <c r="L250" s="3177">
        <v>248</v>
      </c>
      <c r="M250" s="3175">
        <v>-10221</v>
      </c>
      <c r="N250" s="3175" t="s">
        <v>3423</v>
      </c>
      <c r="O250" s="3176">
        <v>23.43</v>
      </c>
      <c r="P250" s="3176">
        <v>7.38</v>
      </c>
    </row>
    <row r="251" spans="1:16" ht="15" thickBot="1">
      <c r="A251" s="3174">
        <v>249</v>
      </c>
      <c r="B251" s="3175" t="s">
        <v>3677</v>
      </c>
      <c r="C251" s="3176">
        <v>113.82</v>
      </c>
      <c r="D251" s="3176">
        <v>35.83</v>
      </c>
      <c r="F251" s="3177">
        <v>249</v>
      </c>
      <c r="G251" s="3175" t="s">
        <v>3666</v>
      </c>
      <c r="H251" s="3178">
        <v>-2012</v>
      </c>
      <c r="I251" s="3179">
        <v>10.57</v>
      </c>
      <c r="J251" s="3179">
        <v>3.33</v>
      </c>
      <c r="L251" s="3177">
        <v>249</v>
      </c>
      <c r="M251" s="3175">
        <v>-10222</v>
      </c>
      <c r="N251" s="3175" t="s">
        <v>3423</v>
      </c>
      <c r="O251" s="3176">
        <v>23.43</v>
      </c>
      <c r="P251" s="3176">
        <v>7.38</v>
      </c>
    </row>
    <row r="252" spans="1:16" ht="15" thickBot="1">
      <c r="A252" s="3174">
        <v>250</v>
      </c>
      <c r="B252" s="3175" t="s">
        <v>3678</v>
      </c>
      <c r="C252" s="3176">
        <v>89.57</v>
      </c>
      <c r="D252" s="3176">
        <v>28.2</v>
      </c>
      <c r="F252" s="3177">
        <v>250</v>
      </c>
      <c r="G252" s="3175" t="s">
        <v>3666</v>
      </c>
      <c r="H252" s="3178">
        <v>-2013</v>
      </c>
      <c r="I252" s="3179">
        <v>10.57</v>
      </c>
      <c r="J252" s="3179">
        <v>3.33</v>
      </c>
      <c r="L252" s="3177">
        <v>250</v>
      </c>
      <c r="M252" s="3175">
        <v>-10223</v>
      </c>
      <c r="N252" s="3175" t="s">
        <v>3423</v>
      </c>
      <c r="O252" s="3176">
        <v>23.43</v>
      </c>
      <c r="P252" s="3176">
        <v>7.38</v>
      </c>
    </row>
    <row r="253" spans="1:16" ht="15" thickBot="1">
      <c r="A253" s="3174">
        <v>251</v>
      </c>
      <c r="B253" s="3175" t="s">
        <v>3679</v>
      </c>
      <c r="C253" s="3176">
        <v>89.57</v>
      </c>
      <c r="D253" s="3176">
        <v>28.2</v>
      </c>
      <c r="F253" s="3177">
        <v>251</v>
      </c>
      <c r="G253" s="3175" t="s">
        <v>3666</v>
      </c>
      <c r="H253" s="3178">
        <v>-2014</v>
      </c>
      <c r="I253" s="3179">
        <v>9.9</v>
      </c>
      <c r="J253" s="3179">
        <v>3.12</v>
      </c>
      <c r="L253" s="3177">
        <v>251</v>
      </c>
      <c r="M253" s="3175">
        <v>-10224</v>
      </c>
      <c r="N253" s="3175" t="s">
        <v>3423</v>
      </c>
      <c r="O253" s="3176">
        <v>23.43</v>
      </c>
      <c r="P253" s="3176">
        <v>7.38</v>
      </c>
    </row>
    <row r="254" spans="1:16" ht="15" thickBot="1">
      <c r="A254" s="3174">
        <v>252</v>
      </c>
      <c r="B254" s="3175" t="s">
        <v>3680</v>
      </c>
      <c r="C254" s="3176">
        <v>89.85</v>
      </c>
      <c r="D254" s="3176">
        <v>28.29</v>
      </c>
      <c r="F254" s="3177">
        <v>252</v>
      </c>
      <c r="G254" s="3175" t="s">
        <v>3666</v>
      </c>
      <c r="H254" s="3178">
        <v>-2015</v>
      </c>
      <c r="I254" s="3179">
        <v>10.68</v>
      </c>
      <c r="J254" s="3179">
        <v>3.36</v>
      </c>
      <c r="L254" s="3177">
        <v>252</v>
      </c>
      <c r="M254" s="3175">
        <v>-10225</v>
      </c>
      <c r="N254" s="3175" t="s">
        <v>3423</v>
      </c>
      <c r="O254" s="3176">
        <v>23.43</v>
      </c>
      <c r="P254" s="3176">
        <v>7.38</v>
      </c>
    </row>
    <row r="255" spans="1:16" ht="15" thickBot="1">
      <c r="A255" s="3174">
        <v>253</v>
      </c>
      <c r="B255" s="3175" t="s">
        <v>3681</v>
      </c>
      <c r="C255" s="3176">
        <v>89.12</v>
      </c>
      <c r="D255" s="3176">
        <v>28.06</v>
      </c>
      <c r="F255" s="3177">
        <v>253</v>
      </c>
      <c r="G255" s="3175" t="s">
        <v>3666</v>
      </c>
      <c r="H255" s="3178">
        <v>-2016</v>
      </c>
      <c r="I255" s="3179">
        <v>10.57</v>
      </c>
      <c r="J255" s="3179">
        <v>3.33</v>
      </c>
      <c r="L255" s="3177">
        <v>253</v>
      </c>
      <c r="M255" s="3175">
        <v>-10226</v>
      </c>
      <c r="N255" s="3175" t="s">
        <v>3423</v>
      </c>
      <c r="O255" s="3176">
        <v>23.43</v>
      </c>
      <c r="P255" s="3176">
        <v>7.38</v>
      </c>
    </row>
    <row r="256" spans="1:16" ht="15" thickBot="1">
      <c r="A256" s="3174">
        <v>254</v>
      </c>
      <c r="B256" s="3175" t="s">
        <v>3682</v>
      </c>
      <c r="C256" s="3176">
        <v>88.83</v>
      </c>
      <c r="D256" s="3176">
        <v>27.97</v>
      </c>
      <c r="F256" s="3177">
        <v>254</v>
      </c>
      <c r="G256" s="3175" t="s">
        <v>3666</v>
      </c>
      <c r="H256" s="3178">
        <v>-2017</v>
      </c>
      <c r="I256" s="3179">
        <v>10.57</v>
      </c>
      <c r="J256" s="3179">
        <v>3.33</v>
      </c>
      <c r="L256" s="3177">
        <v>254</v>
      </c>
      <c r="M256" s="3175">
        <v>-10227</v>
      </c>
      <c r="N256" s="3175" t="s">
        <v>3423</v>
      </c>
      <c r="O256" s="3176">
        <v>23.43</v>
      </c>
      <c r="P256" s="3176">
        <v>7.38</v>
      </c>
    </row>
    <row r="257" spans="1:16" ht="15" thickBot="1">
      <c r="A257" s="3174">
        <v>255</v>
      </c>
      <c r="B257" s="3175" t="s">
        <v>3683</v>
      </c>
      <c r="C257" s="3176">
        <v>88.83</v>
      </c>
      <c r="D257" s="3176">
        <v>27.97</v>
      </c>
      <c r="F257" s="3177">
        <v>255</v>
      </c>
      <c r="G257" s="3175" t="s">
        <v>3666</v>
      </c>
      <c r="H257" s="3178">
        <v>-2018</v>
      </c>
      <c r="I257" s="3179">
        <v>11.21</v>
      </c>
      <c r="J257" s="3179">
        <v>3.53</v>
      </c>
      <c r="L257" s="3177">
        <v>255</v>
      </c>
      <c r="M257" s="3175">
        <v>-10228</v>
      </c>
      <c r="N257" s="3175" t="s">
        <v>3423</v>
      </c>
      <c r="O257" s="3176">
        <v>23.43</v>
      </c>
      <c r="P257" s="3176">
        <v>7.38</v>
      </c>
    </row>
    <row r="258" spans="1:16" ht="15" thickBot="1">
      <c r="A258" s="3174">
        <v>256</v>
      </c>
      <c r="B258" s="3175" t="s">
        <v>3684</v>
      </c>
      <c r="C258" s="3176">
        <v>112.27</v>
      </c>
      <c r="D258" s="3176">
        <v>35.35</v>
      </c>
      <c r="F258" s="3177">
        <v>256</v>
      </c>
      <c r="G258" s="3175" t="s">
        <v>3666</v>
      </c>
      <c r="H258" s="3178">
        <v>-2019</v>
      </c>
      <c r="I258" s="3179">
        <v>10.88</v>
      </c>
      <c r="J258" s="3179">
        <v>3.43</v>
      </c>
      <c r="L258" s="3177">
        <v>256</v>
      </c>
      <c r="M258" s="3175">
        <v>-10229</v>
      </c>
      <c r="N258" s="3175" t="s">
        <v>3423</v>
      </c>
      <c r="O258" s="3176">
        <v>23.43</v>
      </c>
      <c r="P258" s="3176">
        <v>7.38</v>
      </c>
    </row>
    <row r="259" spans="1:16" ht="15" thickBot="1">
      <c r="A259" s="3174">
        <v>257</v>
      </c>
      <c r="B259" s="3175" t="s">
        <v>3685</v>
      </c>
      <c r="C259" s="3176">
        <v>89.12</v>
      </c>
      <c r="D259" s="3176">
        <v>28.06</v>
      </c>
      <c r="F259" s="3177">
        <v>257</v>
      </c>
      <c r="G259" s="3175" t="s">
        <v>3666</v>
      </c>
      <c r="H259" s="3178">
        <v>-2020</v>
      </c>
      <c r="I259" s="3179">
        <v>9.2799999999999994</v>
      </c>
      <c r="J259" s="3179">
        <v>2.92</v>
      </c>
      <c r="L259" s="3177">
        <v>257</v>
      </c>
      <c r="M259" s="3175">
        <v>-10230</v>
      </c>
      <c r="N259" s="3175" t="s">
        <v>3423</v>
      </c>
      <c r="O259" s="3176">
        <v>23.43</v>
      </c>
      <c r="P259" s="3176">
        <v>7.38</v>
      </c>
    </row>
    <row r="260" spans="1:16" ht="15" thickBot="1">
      <c r="A260" s="3174">
        <v>258</v>
      </c>
      <c r="B260" s="3175" t="s">
        <v>3686</v>
      </c>
      <c r="C260" s="3176">
        <v>88.83</v>
      </c>
      <c r="D260" s="3176">
        <v>27.97</v>
      </c>
      <c r="F260" s="3177">
        <v>258</v>
      </c>
      <c r="G260" s="3175" t="s">
        <v>3666</v>
      </c>
      <c r="H260" s="3178">
        <v>-2021</v>
      </c>
      <c r="I260" s="3179">
        <v>7.24</v>
      </c>
      <c r="J260" s="3179">
        <v>2.2799999999999998</v>
      </c>
      <c r="L260" s="3177">
        <v>258</v>
      </c>
      <c r="M260" s="3175">
        <v>-10231</v>
      </c>
      <c r="N260" s="3175" t="s">
        <v>3423</v>
      </c>
      <c r="O260" s="3176">
        <v>23.43</v>
      </c>
      <c r="P260" s="3176">
        <v>7.38</v>
      </c>
    </row>
    <row r="261" spans="1:16" ht="15" thickBot="1">
      <c r="A261" s="3174">
        <v>259</v>
      </c>
      <c r="B261" s="3175" t="s">
        <v>3687</v>
      </c>
      <c r="C261" s="3176">
        <v>88.83</v>
      </c>
      <c r="D261" s="3176">
        <v>27.97</v>
      </c>
      <c r="F261" s="3177">
        <v>259</v>
      </c>
      <c r="G261" s="3175" t="s">
        <v>3666</v>
      </c>
      <c r="H261" s="3178">
        <v>-2022</v>
      </c>
      <c r="I261" s="3179">
        <v>4.76</v>
      </c>
      <c r="J261" s="3179">
        <v>1.5</v>
      </c>
      <c r="L261" s="3177">
        <v>259</v>
      </c>
      <c r="M261" s="3175">
        <v>-10232</v>
      </c>
      <c r="N261" s="3175" t="s">
        <v>3423</v>
      </c>
      <c r="O261" s="3176">
        <v>23.43</v>
      </c>
      <c r="P261" s="3176">
        <v>7.38</v>
      </c>
    </row>
    <row r="262" spans="1:16" ht="15" thickBot="1">
      <c r="A262" s="3174">
        <v>260</v>
      </c>
      <c r="B262" s="3175" t="s">
        <v>3688</v>
      </c>
      <c r="C262" s="3176">
        <v>112.27</v>
      </c>
      <c r="D262" s="3176">
        <v>35.35</v>
      </c>
      <c r="F262" s="3177">
        <v>260</v>
      </c>
      <c r="G262" s="3175" t="s">
        <v>3666</v>
      </c>
      <c r="H262" s="3178">
        <v>-2023</v>
      </c>
      <c r="I262" s="3179">
        <v>8.5299999999999994</v>
      </c>
      <c r="J262" s="3179">
        <v>2.69</v>
      </c>
      <c r="L262" s="3177">
        <v>260</v>
      </c>
      <c r="M262" s="3175">
        <v>-10233</v>
      </c>
      <c r="N262" s="3175" t="s">
        <v>3423</v>
      </c>
      <c r="O262" s="3176">
        <v>23.43</v>
      </c>
      <c r="P262" s="3176">
        <v>7.38</v>
      </c>
    </row>
    <row r="263" spans="1:16" ht="15" thickBot="1">
      <c r="A263" s="3174">
        <v>261</v>
      </c>
      <c r="B263" s="3175" t="s">
        <v>3689</v>
      </c>
      <c r="C263" s="3176">
        <v>89.12</v>
      </c>
      <c r="D263" s="3176">
        <v>28.06</v>
      </c>
      <c r="F263" s="3177">
        <v>261</v>
      </c>
      <c r="G263" s="3175" t="s">
        <v>3666</v>
      </c>
      <c r="H263" s="3178">
        <v>-2024</v>
      </c>
      <c r="I263" s="3179">
        <v>10.14</v>
      </c>
      <c r="J263" s="3179">
        <v>3.19</v>
      </c>
      <c r="L263" s="3177">
        <v>261</v>
      </c>
      <c r="M263" s="3175">
        <v>-10234</v>
      </c>
      <c r="N263" s="3175" t="s">
        <v>3423</v>
      </c>
      <c r="O263" s="3176">
        <v>23.43</v>
      </c>
      <c r="P263" s="3176">
        <v>7.38</v>
      </c>
    </row>
    <row r="264" spans="1:16" ht="15" thickBot="1">
      <c r="A264" s="3174">
        <v>262</v>
      </c>
      <c r="B264" s="3175" t="s">
        <v>3690</v>
      </c>
      <c r="C264" s="3176">
        <v>88.83</v>
      </c>
      <c r="D264" s="3176">
        <v>27.97</v>
      </c>
      <c r="F264" s="3177">
        <v>262</v>
      </c>
      <c r="G264" s="3175" t="s">
        <v>3666</v>
      </c>
      <c r="H264" s="3178">
        <v>-2025</v>
      </c>
      <c r="I264" s="3179">
        <v>11.36</v>
      </c>
      <c r="J264" s="3179">
        <v>3.58</v>
      </c>
      <c r="L264" s="3177">
        <v>262</v>
      </c>
      <c r="M264" s="3175">
        <v>-10235</v>
      </c>
      <c r="N264" s="3175" t="s">
        <v>3423</v>
      </c>
      <c r="O264" s="3176">
        <v>23.43</v>
      </c>
      <c r="P264" s="3176">
        <v>7.38</v>
      </c>
    </row>
    <row r="265" spans="1:16" ht="15" thickBot="1">
      <c r="A265" s="3174">
        <v>263</v>
      </c>
      <c r="B265" s="3175" t="s">
        <v>3691</v>
      </c>
      <c r="C265" s="3176">
        <v>88.83</v>
      </c>
      <c r="D265" s="3176">
        <v>27.97</v>
      </c>
      <c r="F265" s="3177">
        <v>263</v>
      </c>
      <c r="G265" s="3175" t="s">
        <v>3666</v>
      </c>
      <c r="H265" s="3178">
        <v>-2026</v>
      </c>
      <c r="I265" s="3179">
        <v>11.5</v>
      </c>
      <c r="J265" s="3179">
        <v>3.62</v>
      </c>
      <c r="L265" s="3177">
        <v>263</v>
      </c>
      <c r="M265" s="3175">
        <v>-10236</v>
      </c>
      <c r="N265" s="3175" t="s">
        <v>3423</v>
      </c>
      <c r="O265" s="3176">
        <v>23.43</v>
      </c>
      <c r="P265" s="3176">
        <v>7.38</v>
      </c>
    </row>
    <row r="266" spans="1:16" ht="15" thickBot="1">
      <c r="A266" s="3174">
        <v>264</v>
      </c>
      <c r="B266" s="3175" t="s">
        <v>3692</v>
      </c>
      <c r="C266" s="3176">
        <v>112.27</v>
      </c>
      <c r="D266" s="3176">
        <v>35.35</v>
      </c>
      <c r="F266" s="3177">
        <v>264</v>
      </c>
      <c r="G266" s="3175" t="s">
        <v>3666</v>
      </c>
      <c r="H266" s="3178">
        <v>-2027</v>
      </c>
      <c r="I266" s="3179">
        <v>7.98</v>
      </c>
      <c r="J266" s="3179">
        <v>2.5099999999999998</v>
      </c>
      <c r="L266" s="3177">
        <v>264</v>
      </c>
      <c r="M266" s="3175">
        <v>-10237</v>
      </c>
      <c r="N266" s="3175" t="s">
        <v>3423</v>
      </c>
      <c r="O266" s="3176">
        <v>23.43</v>
      </c>
      <c r="P266" s="3176">
        <v>7.38</v>
      </c>
    </row>
    <row r="267" spans="1:16" ht="15" thickBot="1">
      <c r="A267" s="3174">
        <v>265</v>
      </c>
      <c r="B267" s="3175" t="s">
        <v>3693</v>
      </c>
      <c r="C267" s="3176">
        <v>89.12</v>
      </c>
      <c r="D267" s="3176">
        <v>28.06</v>
      </c>
      <c r="F267" s="3177">
        <v>265</v>
      </c>
      <c r="G267" s="3175" t="s">
        <v>3666</v>
      </c>
      <c r="H267" s="3178">
        <v>-2028</v>
      </c>
      <c r="I267" s="3179">
        <v>7.75</v>
      </c>
      <c r="J267" s="3179">
        <v>2.44</v>
      </c>
      <c r="L267" s="3177">
        <v>265</v>
      </c>
      <c r="M267" s="3175">
        <v>-10238</v>
      </c>
      <c r="N267" s="3175" t="s">
        <v>3423</v>
      </c>
      <c r="O267" s="3176">
        <v>23.43</v>
      </c>
      <c r="P267" s="3176">
        <v>7.38</v>
      </c>
    </row>
    <row r="268" spans="1:16" ht="15" thickBot="1">
      <c r="A268" s="3174">
        <v>266</v>
      </c>
      <c r="B268" s="3175" t="s">
        <v>3694</v>
      </c>
      <c r="C268" s="3176">
        <v>88.83</v>
      </c>
      <c r="D268" s="3176">
        <v>27.97</v>
      </c>
      <c r="F268" s="3177">
        <v>266</v>
      </c>
      <c r="G268" s="3175" t="s">
        <v>3666</v>
      </c>
      <c r="H268" s="3178">
        <v>-2029</v>
      </c>
      <c r="I268" s="3179">
        <v>8.1999999999999993</v>
      </c>
      <c r="J268" s="3179">
        <v>2.58</v>
      </c>
      <c r="L268" s="3177">
        <v>266</v>
      </c>
      <c r="M268" s="3175">
        <v>-10239</v>
      </c>
      <c r="N268" s="3175" t="s">
        <v>3423</v>
      </c>
      <c r="O268" s="3176">
        <v>23.43</v>
      </c>
      <c r="P268" s="3176">
        <v>7.38</v>
      </c>
    </row>
    <row r="269" spans="1:16" ht="15" thickBot="1">
      <c r="A269" s="3174">
        <v>267</v>
      </c>
      <c r="B269" s="3175" t="s">
        <v>3695</v>
      </c>
      <c r="C269" s="3176">
        <v>88.83</v>
      </c>
      <c r="D269" s="3176">
        <v>27.97</v>
      </c>
      <c r="F269" s="3177">
        <v>267</v>
      </c>
      <c r="G269" s="3175" t="s">
        <v>3666</v>
      </c>
      <c r="H269" s="3178">
        <v>-2030</v>
      </c>
      <c r="I269" s="3179">
        <v>9.85</v>
      </c>
      <c r="J269" s="3179">
        <v>3.1</v>
      </c>
      <c r="L269" s="3177">
        <v>267</v>
      </c>
      <c r="M269" s="3175">
        <v>-10240</v>
      </c>
      <c r="N269" s="3175" t="s">
        <v>3423</v>
      </c>
      <c r="O269" s="3176">
        <v>23.43</v>
      </c>
      <c r="P269" s="3176">
        <v>7.38</v>
      </c>
    </row>
    <row r="270" spans="1:16" ht="15" thickBot="1">
      <c r="A270" s="3174">
        <v>268</v>
      </c>
      <c r="B270" s="3175" t="s">
        <v>3696</v>
      </c>
      <c r="C270" s="3176">
        <v>112.27</v>
      </c>
      <c r="D270" s="3176">
        <v>35.35</v>
      </c>
      <c r="F270" s="3177">
        <v>268</v>
      </c>
      <c r="G270" s="3175" t="s">
        <v>3666</v>
      </c>
      <c r="H270" s="3178">
        <v>-2031</v>
      </c>
      <c r="I270" s="3179">
        <v>8.82</v>
      </c>
      <c r="J270" s="3179">
        <v>2.78</v>
      </c>
      <c r="L270" s="3177">
        <v>268</v>
      </c>
      <c r="M270" s="3175">
        <v>-10241</v>
      </c>
      <c r="N270" s="3175" t="s">
        <v>3423</v>
      </c>
      <c r="O270" s="3176">
        <v>23.43</v>
      </c>
      <c r="P270" s="3176">
        <v>7.38</v>
      </c>
    </row>
    <row r="271" spans="1:16" ht="15" thickBot="1">
      <c r="A271" s="3174">
        <v>269</v>
      </c>
      <c r="B271" s="3175" t="s">
        <v>3697</v>
      </c>
      <c r="C271" s="3176">
        <v>89.12</v>
      </c>
      <c r="D271" s="3176">
        <v>28.06</v>
      </c>
      <c r="F271" s="3177">
        <v>269</v>
      </c>
      <c r="G271" s="3175" t="s">
        <v>3666</v>
      </c>
      <c r="H271" s="3178">
        <v>-2032</v>
      </c>
      <c r="I271" s="3179">
        <v>8.9600000000000009</v>
      </c>
      <c r="J271" s="3179">
        <v>2.82</v>
      </c>
      <c r="L271" s="3177">
        <v>269</v>
      </c>
      <c r="M271" s="3175">
        <v>-10242</v>
      </c>
      <c r="N271" s="3175" t="s">
        <v>3423</v>
      </c>
      <c r="O271" s="3176">
        <v>23.43</v>
      </c>
      <c r="P271" s="3176">
        <v>7.38</v>
      </c>
    </row>
    <row r="272" spans="1:16" ht="15" thickBot="1">
      <c r="A272" s="3174">
        <v>270</v>
      </c>
      <c r="B272" s="3175" t="s">
        <v>3698</v>
      </c>
      <c r="C272" s="3176">
        <v>88.83</v>
      </c>
      <c r="D272" s="3176">
        <v>27.97</v>
      </c>
      <c r="F272" s="3177">
        <v>270</v>
      </c>
      <c r="G272" s="3175" t="s">
        <v>3666</v>
      </c>
      <c r="H272" s="3178">
        <v>-2033</v>
      </c>
      <c r="I272" s="3179">
        <v>8.82</v>
      </c>
      <c r="J272" s="3179">
        <v>2.78</v>
      </c>
      <c r="L272" s="3177">
        <v>270</v>
      </c>
      <c r="M272" s="3175">
        <v>-10243</v>
      </c>
      <c r="N272" s="3175" t="s">
        <v>3423</v>
      </c>
      <c r="O272" s="3176">
        <v>23.43</v>
      </c>
      <c r="P272" s="3176">
        <v>7.38</v>
      </c>
    </row>
    <row r="273" spans="1:16" ht="15" thickBot="1">
      <c r="A273" s="3174">
        <v>271</v>
      </c>
      <c r="B273" s="3175" t="s">
        <v>3699</v>
      </c>
      <c r="C273" s="3176">
        <v>88.83</v>
      </c>
      <c r="D273" s="3176">
        <v>27.97</v>
      </c>
      <c r="F273" s="3177">
        <v>271</v>
      </c>
      <c r="G273" s="3175" t="s">
        <v>3666</v>
      </c>
      <c r="H273" s="3178">
        <v>-2034</v>
      </c>
      <c r="I273" s="3179">
        <v>7.55</v>
      </c>
      <c r="J273" s="3179">
        <v>2.38</v>
      </c>
      <c r="L273" s="3177">
        <v>271</v>
      </c>
      <c r="M273" s="3175">
        <v>-10244</v>
      </c>
      <c r="N273" s="3175" t="s">
        <v>3423</v>
      </c>
      <c r="O273" s="3176">
        <v>23.43</v>
      </c>
      <c r="P273" s="3176">
        <v>7.38</v>
      </c>
    </row>
    <row r="274" spans="1:16" ht="15" thickBot="1">
      <c r="A274" s="3174">
        <v>272</v>
      </c>
      <c r="B274" s="3175" t="s">
        <v>3700</v>
      </c>
      <c r="C274" s="3176">
        <v>112.27</v>
      </c>
      <c r="D274" s="3176">
        <v>35.35</v>
      </c>
      <c r="F274" s="3177">
        <v>272</v>
      </c>
      <c r="G274" s="3175" t="s">
        <v>3666</v>
      </c>
      <c r="H274" s="3178">
        <v>-2035</v>
      </c>
      <c r="I274" s="3179">
        <v>7.32</v>
      </c>
      <c r="J274" s="3179">
        <v>2.2999999999999998</v>
      </c>
      <c r="L274" s="3177">
        <v>272</v>
      </c>
      <c r="M274" s="3175">
        <v>-10245</v>
      </c>
      <c r="N274" s="3175" t="s">
        <v>3423</v>
      </c>
      <c r="O274" s="3176">
        <v>23.43</v>
      </c>
      <c r="P274" s="3176">
        <v>7.38</v>
      </c>
    </row>
    <row r="275" spans="1:16" ht="15" thickBot="1">
      <c r="A275" s="3174">
        <v>273</v>
      </c>
      <c r="B275" s="3175" t="s">
        <v>3701</v>
      </c>
      <c r="C275" s="3176">
        <v>89.12</v>
      </c>
      <c r="D275" s="3176">
        <v>28.06</v>
      </c>
      <c r="F275" s="3177">
        <v>273</v>
      </c>
      <c r="G275" s="3175" t="s">
        <v>3666</v>
      </c>
      <c r="H275" s="3178">
        <v>-2036</v>
      </c>
      <c r="I275" s="3179">
        <v>7.32</v>
      </c>
      <c r="J275" s="3179">
        <v>2.2999999999999998</v>
      </c>
      <c r="L275" s="3177">
        <v>273</v>
      </c>
      <c r="M275" s="3175">
        <v>-10246</v>
      </c>
      <c r="N275" s="3175" t="s">
        <v>3423</v>
      </c>
      <c r="O275" s="3176">
        <v>23.43</v>
      </c>
      <c r="P275" s="3176">
        <v>7.38</v>
      </c>
    </row>
    <row r="276" spans="1:16" ht="15" thickBot="1">
      <c r="A276" s="3174">
        <v>274</v>
      </c>
      <c r="B276" s="3175" t="s">
        <v>3702</v>
      </c>
      <c r="C276" s="3176">
        <v>88.83</v>
      </c>
      <c r="D276" s="3176">
        <v>27.97</v>
      </c>
      <c r="F276" s="3177">
        <v>274</v>
      </c>
      <c r="G276" s="3175" t="s">
        <v>3666</v>
      </c>
      <c r="H276" s="3178">
        <v>-2037</v>
      </c>
      <c r="I276" s="3179">
        <v>7.63</v>
      </c>
      <c r="J276" s="3179">
        <v>2.4</v>
      </c>
      <c r="L276" s="3177">
        <v>274</v>
      </c>
      <c r="M276" s="3175">
        <v>-10247</v>
      </c>
      <c r="N276" s="3175" t="s">
        <v>3423</v>
      </c>
      <c r="O276" s="3176">
        <v>23.43</v>
      </c>
      <c r="P276" s="3176">
        <v>7.38</v>
      </c>
    </row>
    <row r="277" spans="1:16" ht="15" thickBot="1">
      <c r="A277" s="3174">
        <v>275</v>
      </c>
      <c r="B277" s="3175" t="s">
        <v>3703</v>
      </c>
      <c r="C277" s="3176">
        <v>88.83</v>
      </c>
      <c r="D277" s="3176">
        <v>27.97</v>
      </c>
      <c r="F277" s="3177">
        <v>275</v>
      </c>
      <c r="G277" s="3175" t="s">
        <v>3666</v>
      </c>
      <c r="H277" s="3178">
        <v>-2038</v>
      </c>
      <c r="I277" s="3179">
        <v>7.63</v>
      </c>
      <c r="J277" s="3179">
        <v>2.4</v>
      </c>
      <c r="L277" s="3177">
        <v>275</v>
      </c>
      <c r="M277" s="3175">
        <v>-10248</v>
      </c>
      <c r="N277" s="3175" t="s">
        <v>3423</v>
      </c>
      <c r="O277" s="3176">
        <v>23.43</v>
      </c>
      <c r="P277" s="3176">
        <v>7.38</v>
      </c>
    </row>
    <row r="278" spans="1:16" ht="15" thickBot="1">
      <c r="A278" s="3174">
        <v>276</v>
      </c>
      <c r="B278" s="3175" t="s">
        <v>3704</v>
      </c>
      <c r="C278" s="3176">
        <v>112.27</v>
      </c>
      <c r="D278" s="3176">
        <v>35.35</v>
      </c>
      <c r="F278" s="3177">
        <v>276</v>
      </c>
      <c r="G278" s="3175" t="s">
        <v>3666</v>
      </c>
      <c r="H278" s="3178">
        <v>-2039</v>
      </c>
      <c r="I278" s="3179">
        <v>7.32</v>
      </c>
      <c r="J278" s="3179">
        <v>2.2999999999999998</v>
      </c>
      <c r="L278" s="3177">
        <v>276</v>
      </c>
      <c r="M278" s="3175">
        <v>-10249</v>
      </c>
      <c r="N278" s="3175" t="s">
        <v>3423</v>
      </c>
      <c r="O278" s="3176">
        <v>23.43</v>
      </c>
      <c r="P278" s="3176">
        <v>7.38</v>
      </c>
    </row>
    <row r="279" spans="1:16" ht="15" thickBot="1">
      <c r="A279" s="3174">
        <v>277</v>
      </c>
      <c r="B279" s="3175" t="s">
        <v>3705</v>
      </c>
      <c r="C279" s="3176">
        <v>89.12</v>
      </c>
      <c r="D279" s="3176">
        <v>28.06</v>
      </c>
      <c r="F279" s="3177">
        <v>277</v>
      </c>
      <c r="G279" s="3175" t="s">
        <v>3666</v>
      </c>
      <c r="H279" s="3178">
        <v>-2040</v>
      </c>
      <c r="I279" s="3179">
        <v>7.32</v>
      </c>
      <c r="J279" s="3179">
        <v>2.2999999999999998</v>
      </c>
      <c r="L279" s="3177">
        <v>277</v>
      </c>
      <c r="M279" s="3175">
        <v>-10250</v>
      </c>
      <c r="N279" s="3175" t="s">
        <v>3423</v>
      </c>
      <c r="O279" s="3176">
        <v>23.43</v>
      </c>
      <c r="P279" s="3176">
        <v>7.38</v>
      </c>
    </row>
    <row r="280" spans="1:16" ht="15" thickBot="1">
      <c r="A280" s="3174">
        <v>278</v>
      </c>
      <c r="B280" s="3175" t="s">
        <v>3706</v>
      </c>
      <c r="C280" s="3176">
        <v>88.83</v>
      </c>
      <c r="D280" s="3176">
        <v>27.97</v>
      </c>
      <c r="F280" s="3177">
        <v>278</v>
      </c>
      <c r="G280" s="3175" t="s">
        <v>3666</v>
      </c>
      <c r="H280" s="3178">
        <v>-2041</v>
      </c>
      <c r="I280" s="3179">
        <v>7.55</v>
      </c>
      <c r="J280" s="3179">
        <v>2.38</v>
      </c>
      <c r="L280" s="3177">
        <v>278</v>
      </c>
      <c r="M280" s="3175">
        <v>-10251</v>
      </c>
      <c r="N280" s="3175" t="s">
        <v>3423</v>
      </c>
      <c r="O280" s="3176">
        <v>23.43</v>
      </c>
      <c r="P280" s="3176">
        <v>7.38</v>
      </c>
    </row>
    <row r="281" spans="1:16" ht="15" thickBot="1">
      <c r="A281" s="3174">
        <v>279</v>
      </c>
      <c r="B281" s="3175" t="s">
        <v>3707</v>
      </c>
      <c r="C281" s="3176">
        <v>88.83</v>
      </c>
      <c r="D281" s="3176">
        <v>27.97</v>
      </c>
      <c r="F281" s="3177">
        <v>279</v>
      </c>
      <c r="G281" s="3175" t="s">
        <v>3666</v>
      </c>
      <c r="H281" s="3178">
        <v>-2042</v>
      </c>
      <c r="I281" s="3179">
        <v>8.82</v>
      </c>
      <c r="J281" s="3179">
        <v>2.78</v>
      </c>
      <c r="L281" s="3177">
        <v>279</v>
      </c>
      <c r="M281" s="3175">
        <v>-10252</v>
      </c>
      <c r="N281" s="3175" t="s">
        <v>3423</v>
      </c>
      <c r="O281" s="3176">
        <v>23.43</v>
      </c>
      <c r="P281" s="3176">
        <v>7.38</v>
      </c>
    </row>
    <row r="282" spans="1:16" ht="15" thickBot="1">
      <c r="A282" s="3174">
        <v>280</v>
      </c>
      <c r="B282" s="3175" t="s">
        <v>3708</v>
      </c>
      <c r="C282" s="3176">
        <v>112.27</v>
      </c>
      <c r="D282" s="3176">
        <v>35.35</v>
      </c>
      <c r="F282" s="3177">
        <v>280</v>
      </c>
      <c r="G282" s="3175" t="s">
        <v>3666</v>
      </c>
      <c r="H282" s="3178">
        <v>-2043</v>
      </c>
      <c r="I282" s="3179">
        <v>8.9600000000000009</v>
      </c>
      <c r="J282" s="3179">
        <v>2.82</v>
      </c>
      <c r="L282" s="3177">
        <v>280</v>
      </c>
      <c r="M282" s="3175">
        <v>-10253</v>
      </c>
      <c r="N282" s="3175" t="s">
        <v>3423</v>
      </c>
      <c r="O282" s="3176">
        <v>23.43</v>
      </c>
      <c r="P282" s="3176">
        <v>7.38</v>
      </c>
    </row>
    <row r="283" spans="1:16" ht="15" thickBot="1">
      <c r="A283" s="3174">
        <v>281</v>
      </c>
      <c r="B283" s="3175" t="s">
        <v>3709</v>
      </c>
      <c r="C283" s="3176">
        <v>89.12</v>
      </c>
      <c r="D283" s="3176">
        <v>28.06</v>
      </c>
      <c r="F283" s="3177">
        <v>281</v>
      </c>
      <c r="G283" s="3175" t="s">
        <v>3666</v>
      </c>
      <c r="H283" s="3178">
        <v>-2044</v>
      </c>
      <c r="I283" s="3179">
        <v>8.82</v>
      </c>
      <c r="J283" s="3179">
        <v>2.78</v>
      </c>
      <c r="L283" s="3177">
        <v>281</v>
      </c>
      <c r="M283" s="3175">
        <v>-10254</v>
      </c>
      <c r="N283" s="3175" t="s">
        <v>3423</v>
      </c>
      <c r="O283" s="3176">
        <v>23.43</v>
      </c>
      <c r="P283" s="3176">
        <v>7.38</v>
      </c>
    </row>
    <row r="284" spans="1:16" ht="15" thickBot="1">
      <c r="A284" s="3174">
        <v>282</v>
      </c>
      <c r="B284" s="3175" t="s">
        <v>3710</v>
      </c>
      <c r="C284" s="3176">
        <v>88.83</v>
      </c>
      <c r="D284" s="3176">
        <v>27.97</v>
      </c>
      <c r="F284" s="3177">
        <v>282</v>
      </c>
      <c r="G284" s="3175" t="s">
        <v>3666</v>
      </c>
      <c r="H284" s="3178">
        <v>-2045</v>
      </c>
      <c r="I284" s="3179">
        <v>8.51</v>
      </c>
      <c r="J284" s="3179">
        <v>2.68</v>
      </c>
      <c r="L284" s="3177">
        <v>282</v>
      </c>
      <c r="M284" s="3175">
        <v>-10255</v>
      </c>
      <c r="N284" s="3175" t="s">
        <v>3423</v>
      </c>
      <c r="O284" s="3176">
        <v>23.43</v>
      </c>
      <c r="P284" s="3176">
        <v>7.38</v>
      </c>
    </row>
    <row r="285" spans="1:16" ht="15" thickBot="1">
      <c r="A285" s="3174">
        <v>283</v>
      </c>
      <c r="B285" s="3175" t="s">
        <v>3711</v>
      </c>
      <c r="C285" s="3176">
        <v>88.83</v>
      </c>
      <c r="D285" s="3176">
        <v>27.97</v>
      </c>
      <c r="F285" s="3177">
        <v>283</v>
      </c>
      <c r="G285" s="3175" t="s">
        <v>3666</v>
      </c>
      <c r="H285" s="3178">
        <v>-2046</v>
      </c>
      <c r="I285" s="3179">
        <v>7.69</v>
      </c>
      <c r="J285" s="3179">
        <v>2.42</v>
      </c>
      <c r="L285" s="3177">
        <v>283</v>
      </c>
      <c r="M285" s="3175">
        <v>-10256</v>
      </c>
      <c r="N285" s="3175" t="s">
        <v>3423</v>
      </c>
      <c r="O285" s="3176">
        <v>23.43</v>
      </c>
      <c r="P285" s="3176">
        <v>7.38</v>
      </c>
    </row>
    <row r="286" spans="1:16" ht="15" thickBot="1">
      <c r="A286" s="3174">
        <v>284</v>
      </c>
      <c r="B286" s="3175" t="s">
        <v>3712</v>
      </c>
      <c r="C286" s="3176">
        <v>112.27</v>
      </c>
      <c r="D286" s="3176">
        <v>35.35</v>
      </c>
      <c r="F286" s="3177">
        <v>284</v>
      </c>
      <c r="G286" s="3175" t="s">
        <v>3666</v>
      </c>
      <c r="H286" s="3178">
        <v>-2047</v>
      </c>
      <c r="I286" s="3179">
        <v>8.6300000000000008</v>
      </c>
      <c r="J286" s="3179">
        <v>2.72</v>
      </c>
      <c r="L286" s="3177">
        <v>284</v>
      </c>
      <c r="M286" s="3175">
        <v>-10257</v>
      </c>
      <c r="N286" s="3175" t="s">
        <v>3423</v>
      </c>
      <c r="O286" s="3176">
        <v>23.43</v>
      </c>
      <c r="P286" s="3176">
        <v>7.38</v>
      </c>
    </row>
    <row r="287" spans="1:16" ht="15" thickBot="1">
      <c r="A287" s="3174">
        <v>285</v>
      </c>
      <c r="B287" s="3175" t="s">
        <v>3713</v>
      </c>
      <c r="C287" s="3176">
        <v>89.12</v>
      </c>
      <c r="D287" s="3176">
        <v>28.06</v>
      </c>
      <c r="F287" s="3177">
        <v>285</v>
      </c>
      <c r="G287" s="3175" t="s">
        <v>3666</v>
      </c>
      <c r="H287" s="3178">
        <v>-2048</v>
      </c>
      <c r="I287" s="3179">
        <v>11.85</v>
      </c>
      <c r="J287" s="3179">
        <v>3.73</v>
      </c>
      <c r="L287" s="3177">
        <v>285</v>
      </c>
      <c r="M287" s="3175">
        <v>-10258</v>
      </c>
      <c r="N287" s="3175" t="s">
        <v>3423</v>
      </c>
      <c r="O287" s="3176">
        <v>23.43</v>
      </c>
      <c r="P287" s="3176">
        <v>7.38</v>
      </c>
    </row>
    <row r="288" spans="1:16" ht="15" thickBot="1">
      <c r="A288" s="3174">
        <v>286</v>
      </c>
      <c r="B288" s="3175" t="s">
        <v>3714</v>
      </c>
      <c r="C288" s="3176">
        <v>88.83</v>
      </c>
      <c r="D288" s="3176">
        <v>27.97</v>
      </c>
      <c r="F288" s="3177">
        <v>286</v>
      </c>
      <c r="G288" s="3175" t="s">
        <v>3666</v>
      </c>
      <c r="H288" s="3178">
        <v>-2049</v>
      </c>
      <c r="I288" s="3179">
        <v>11.85</v>
      </c>
      <c r="J288" s="3179">
        <v>3.73</v>
      </c>
      <c r="L288" s="3177">
        <v>286</v>
      </c>
      <c r="M288" s="3175">
        <v>-10259</v>
      </c>
      <c r="N288" s="3175" t="s">
        <v>3423</v>
      </c>
      <c r="O288" s="3176">
        <v>23.43</v>
      </c>
      <c r="P288" s="3176">
        <v>7.38</v>
      </c>
    </row>
    <row r="289" spans="1:16" ht="15" thickBot="1">
      <c r="A289" s="3174">
        <v>287</v>
      </c>
      <c r="B289" s="3175" t="s">
        <v>3715</v>
      </c>
      <c r="C289" s="3176">
        <v>88.83</v>
      </c>
      <c r="D289" s="3176">
        <v>27.97</v>
      </c>
      <c r="F289" s="3177">
        <v>287</v>
      </c>
      <c r="G289" s="3175" t="s">
        <v>3666</v>
      </c>
      <c r="H289" s="3178">
        <v>-2050</v>
      </c>
      <c r="I289" s="3179">
        <v>11.85</v>
      </c>
      <c r="J289" s="3179">
        <v>3.73</v>
      </c>
      <c r="L289" s="3177">
        <v>287</v>
      </c>
      <c r="M289" s="3175">
        <v>-10260</v>
      </c>
      <c r="N289" s="3175" t="s">
        <v>3423</v>
      </c>
      <c r="O289" s="3176">
        <v>23.43</v>
      </c>
      <c r="P289" s="3176">
        <v>7.38</v>
      </c>
    </row>
    <row r="290" spans="1:16" ht="15" thickBot="1">
      <c r="A290" s="3174">
        <v>288</v>
      </c>
      <c r="B290" s="3175" t="s">
        <v>3716</v>
      </c>
      <c r="C290" s="3176">
        <v>112.27</v>
      </c>
      <c r="D290" s="3176">
        <v>35.35</v>
      </c>
      <c r="F290" s="3177">
        <v>288</v>
      </c>
      <c r="G290" s="3175" t="s">
        <v>3666</v>
      </c>
      <c r="H290" s="3178">
        <v>-2051</v>
      </c>
      <c r="I290" s="3179">
        <v>11.66</v>
      </c>
      <c r="J290" s="3179">
        <v>3.67</v>
      </c>
      <c r="L290" s="3177">
        <v>288</v>
      </c>
      <c r="M290" s="3175">
        <v>-10261</v>
      </c>
      <c r="N290" s="3175" t="s">
        <v>3423</v>
      </c>
      <c r="O290" s="3176">
        <v>23.43</v>
      </c>
      <c r="P290" s="3176">
        <v>7.38</v>
      </c>
    </row>
    <row r="291" spans="1:16" ht="15" thickBot="1">
      <c r="A291" s="3174">
        <v>289</v>
      </c>
      <c r="B291" s="3175" t="s">
        <v>3717</v>
      </c>
      <c r="C291" s="3176">
        <v>89.12</v>
      </c>
      <c r="D291" s="3176">
        <v>28.06</v>
      </c>
      <c r="F291" s="3177">
        <v>289</v>
      </c>
      <c r="G291" s="3175" t="s">
        <v>3666</v>
      </c>
      <c r="H291" s="3178">
        <v>-2052</v>
      </c>
      <c r="I291" s="3179">
        <v>7.32</v>
      </c>
      <c r="J291" s="3179">
        <v>2.2999999999999998</v>
      </c>
      <c r="L291" s="3177">
        <v>289</v>
      </c>
      <c r="M291" s="3175">
        <v>-10262</v>
      </c>
      <c r="N291" s="3175" t="s">
        <v>3423</v>
      </c>
      <c r="O291" s="3176">
        <v>23.43</v>
      </c>
      <c r="P291" s="3176">
        <v>7.38</v>
      </c>
    </row>
    <row r="292" spans="1:16" ht="15" thickBot="1">
      <c r="A292" s="3174">
        <v>290</v>
      </c>
      <c r="B292" s="3175" t="s">
        <v>3718</v>
      </c>
      <c r="C292" s="3176">
        <v>88.83</v>
      </c>
      <c r="D292" s="3176">
        <v>27.97</v>
      </c>
      <c r="F292" s="3177">
        <v>290</v>
      </c>
      <c r="G292" s="3175" t="s">
        <v>3666</v>
      </c>
      <c r="H292" s="3178">
        <v>-2053</v>
      </c>
      <c r="I292" s="3179">
        <v>7.41</v>
      </c>
      <c r="J292" s="3179">
        <v>2.33</v>
      </c>
      <c r="L292" s="3177">
        <v>290</v>
      </c>
      <c r="M292" s="3175">
        <v>-10263</v>
      </c>
      <c r="N292" s="3175" t="s">
        <v>3423</v>
      </c>
      <c r="O292" s="3176">
        <v>23.43</v>
      </c>
      <c r="P292" s="3176">
        <v>7.38</v>
      </c>
    </row>
    <row r="293" spans="1:16" ht="15" thickBot="1">
      <c r="A293" s="3174">
        <v>291</v>
      </c>
      <c r="B293" s="3175" t="s">
        <v>3719</v>
      </c>
      <c r="C293" s="3176">
        <v>88.83</v>
      </c>
      <c r="D293" s="3176">
        <v>27.97</v>
      </c>
      <c r="F293" s="3177">
        <v>291</v>
      </c>
      <c r="G293" s="3175" t="s">
        <v>3666</v>
      </c>
      <c r="H293" s="3178">
        <v>-2054</v>
      </c>
      <c r="I293" s="3179">
        <v>11.88</v>
      </c>
      <c r="J293" s="3179">
        <v>3.74</v>
      </c>
      <c r="L293" s="3177">
        <v>291</v>
      </c>
      <c r="M293" s="3175">
        <v>-10264</v>
      </c>
      <c r="N293" s="3175" t="s">
        <v>3423</v>
      </c>
      <c r="O293" s="3176">
        <v>23.43</v>
      </c>
      <c r="P293" s="3176">
        <v>7.38</v>
      </c>
    </row>
    <row r="294" spans="1:16" ht="15" thickBot="1">
      <c r="A294" s="3174">
        <v>292</v>
      </c>
      <c r="B294" s="3175" t="s">
        <v>3720</v>
      </c>
      <c r="C294" s="3176">
        <v>112.27</v>
      </c>
      <c r="D294" s="3176">
        <v>35.35</v>
      </c>
      <c r="F294" s="3177">
        <v>292</v>
      </c>
      <c r="G294" s="3175" t="s">
        <v>3666</v>
      </c>
      <c r="H294" s="3178">
        <v>-2055</v>
      </c>
      <c r="I294" s="3179">
        <v>8.82</v>
      </c>
      <c r="J294" s="3179">
        <v>2.78</v>
      </c>
      <c r="L294" s="3177">
        <v>292</v>
      </c>
      <c r="M294" s="3175">
        <v>-10265</v>
      </c>
      <c r="N294" s="3175" t="s">
        <v>3423</v>
      </c>
      <c r="O294" s="3176">
        <v>23.43</v>
      </c>
      <c r="P294" s="3176">
        <v>7.38</v>
      </c>
    </row>
    <row r="295" spans="1:16" ht="15" thickBot="1">
      <c r="A295" s="3174">
        <v>293</v>
      </c>
      <c r="B295" s="3175" t="s">
        <v>3721</v>
      </c>
      <c r="C295" s="3176">
        <v>89.12</v>
      </c>
      <c r="D295" s="3176">
        <v>28.06</v>
      </c>
      <c r="F295" s="3177">
        <v>293</v>
      </c>
      <c r="G295" s="3175" t="s">
        <v>3666</v>
      </c>
      <c r="H295" s="3178">
        <v>-2056</v>
      </c>
      <c r="I295" s="3179">
        <v>15.16</v>
      </c>
      <c r="J295" s="3179">
        <v>4.7699999999999996</v>
      </c>
      <c r="L295" s="3177">
        <v>293</v>
      </c>
      <c r="M295" s="3175">
        <v>-10266</v>
      </c>
      <c r="N295" s="3175" t="s">
        <v>3423</v>
      </c>
      <c r="O295" s="3176">
        <v>23.43</v>
      </c>
      <c r="P295" s="3176">
        <v>7.38</v>
      </c>
    </row>
    <row r="296" spans="1:16" ht="15" thickBot="1">
      <c r="A296" s="3174">
        <v>294</v>
      </c>
      <c r="B296" s="3175" t="s">
        <v>3722</v>
      </c>
      <c r="C296" s="3176">
        <v>88.83</v>
      </c>
      <c r="D296" s="3176">
        <v>27.97</v>
      </c>
      <c r="F296" s="3177">
        <v>294</v>
      </c>
      <c r="G296" s="3175" t="s">
        <v>3666</v>
      </c>
      <c r="H296" s="3178">
        <v>-2057</v>
      </c>
      <c r="I296" s="3179">
        <v>8.6300000000000008</v>
      </c>
      <c r="J296" s="3179">
        <v>2.72</v>
      </c>
      <c r="L296" s="3177">
        <v>294</v>
      </c>
      <c r="M296" s="3175">
        <v>-10267</v>
      </c>
      <c r="N296" s="3175" t="s">
        <v>3423</v>
      </c>
      <c r="O296" s="3176">
        <v>23.43</v>
      </c>
      <c r="P296" s="3176">
        <v>7.38</v>
      </c>
    </row>
    <row r="297" spans="1:16" ht="15" thickBot="1">
      <c r="A297" s="3174">
        <v>295</v>
      </c>
      <c r="B297" s="3175" t="s">
        <v>3723</v>
      </c>
      <c r="C297" s="3176">
        <v>88.83</v>
      </c>
      <c r="D297" s="3176">
        <v>27.97</v>
      </c>
      <c r="F297" s="3177">
        <v>295</v>
      </c>
      <c r="G297" s="3175" t="s">
        <v>3666</v>
      </c>
      <c r="H297" s="3178">
        <v>-2058</v>
      </c>
      <c r="I297" s="3179">
        <v>7.69</v>
      </c>
      <c r="J297" s="3179">
        <v>2.42</v>
      </c>
      <c r="L297" s="3177">
        <v>295</v>
      </c>
      <c r="M297" s="3175">
        <v>-10268</v>
      </c>
      <c r="N297" s="3175" t="s">
        <v>3423</v>
      </c>
      <c r="O297" s="3176">
        <v>23.43</v>
      </c>
      <c r="P297" s="3176">
        <v>7.38</v>
      </c>
    </row>
    <row r="298" spans="1:16" ht="15" thickBot="1">
      <c r="A298" s="3174">
        <v>296</v>
      </c>
      <c r="B298" s="3175" t="s">
        <v>3724</v>
      </c>
      <c r="C298" s="3176">
        <v>112.27</v>
      </c>
      <c r="D298" s="3176">
        <v>35.35</v>
      </c>
      <c r="F298" s="3177">
        <v>296</v>
      </c>
      <c r="G298" s="3175" t="s">
        <v>3666</v>
      </c>
      <c r="H298" s="3178">
        <v>-2059</v>
      </c>
      <c r="I298" s="3179">
        <v>8.51</v>
      </c>
      <c r="J298" s="3179">
        <v>2.68</v>
      </c>
      <c r="L298" s="3177">
        <v>296</v>
      </c>
      <c r="M298" s="3175">
        <v>-10269</v>
      </c>
      <c r="N298" s="3175" t="s">
        <v>3423</v>
      </c>
      <c r="O298" s="3176">
        <v>23.43</v>
      </c>
      <c r="P298" s="3176">
        <v>7.38</v>
      </c>
    </row>
    <row r="299" spans="1:16" ht="15" thickBot="1">
      <c r="A299" s="3174">
        <v>297</v>
      </c>
      <c r="B299" s="3175" t="s">
        <v>3725</v>
      </c>
      <c r="C299" s="3176">
        <v>89.12</v>
      </c>
      <c r="D299" s="3176">
        <v>28.06</v>
      </c>
      <c r="F299" s="3177">
        <v>297</v>
      </c>
      <c r="G299" s="3175" t="s">
        <v>3666</v>
      </c>
      <c r="H299" s="3178">
        <v>-2060</v>
      </c>
      <c r="I299" s="3179">
        <v>8.82</v>
      </c>
      <c r="J299" s="3179">
        <v>2.78</v>
      </c>
      <c r="L299" s="3177">
        <v>297</v>
      </c>
      <c r="M299" s="3175">
        <v>-10270</v>
      </c>
      <c r="N299" s="3175" t="s">
        <v>3423</v>
      </c>
      <c r="O299" s="3176">
        <v>23.43</v>
      </c>
      <c r="P299" s="3176">
        <v>7.38</v>
      </c>
    </row>
    <row r="300" spans="1:16" ht="15" thickBot="1">
      <c r="A300" s="3174">
        <v>298</v>
      </c>
      <c r="B300" s="3175" t="s">
        <v>3726</v>
      </c>
      <c r="C300" s="3176">
        <v>88.83</v>
      </c>
      <c r="D300" s="3176">
        <v>27.97</v>
      </c>
      <c r="F300" s="3177">
        <v>298</v>
      </c>
      <c r="G300" s="3175" t="s">
        <v>3666</v>
      </c>
      <c r="H300" s="3178">
        <v>-2061</v>
      </c>
      <c r="I300" s="3179">
        <v>8.9600000000000009</v>
      </c>
      <c r="J300" s="3179">
        <v>2.82</v>
      </c>
      <c r="L300" s="3177">
        <v>298</v>
      </c>
      <c r="M300" s="3175">
        <v>-10271</v>
      </c>
      <c r="N300" s="3175" t="s">
        <v>3423</v>
      </c>
      <c r="O300" s="3176">
        <v>23.43</v>
      </c>
      <c r="P300" s="3176">
        <v>7.38</v>
      </c>
    </row>
    <row r="301" spans="1:16" ht="15" thickBot="1">
      <c r="A301" s="3174">
        <v>299</v>
      </c>
      <c r="B301" s="3175" t="s">
        <v>3727</v>
      </c>
      <c r="C301" s="3176">
        <v>88.83</v>
      </c>
      <c r="D301" s="3176">
        <v>27.97</v>
      </c>
      <c r="F301" s="3177">
        <v>299</v>
      </c>
      <c r="G301" s="3175" t="s">
        <v>3666</v>
      </c>
      <c r="H301" s="3178">
        <v>-2062</v>
      </c>
      <c r="I301" s="3179">
        <v>8.82</v>
      </c>
      <c r="J301" s="3179">
        <v>2.78</v>
      </c>
      <c r="L301" s="3177">
        <v>299</v>
      </c>
      <c r="M301" s="3175">
        <v>-10272</v>
      </c>
      <c r="N301" s="3175" t="s">
        <v>3423</v>
      </c>
      <c r="O301" s="3176">
        <v>23.43</v>
      </c>
      <c r="P301" s="3176">
        <v>7.38</v>
      </c>
    </row>
    <row r="302" spans="1:16" ht="15" thickBot="1">
      <c r="A302" s="3174">
        <v>300</v>
      </c>
      <c r="B302" s="3175" t="s">
        <v>3728</v>
      </c>
      <c r="C302" s="3176">
        <v>112.27</v>
      </c>
      <c r="D302" s="3176">
        <v>35.35</v>
      </c>
      <c r="F302" s="3177">
        <v>300</v>
      </c>
      <c r="G302" s="3175" t="s">
        <v>3666</v>
      </c>
      <c r="H302" s="3178">
        <v>-2063</v>
      </c>
      <c r="I302" s="3179">
        <v>8.1199999999999992</v>
      </c>
      <c r="J302" s="3179">
        <v>2.56</v>
      </c>
      <c r="L302" s="3177">
        <v>300</v>
      </c>
      <c r="M302" s="3175">
        <v>-10273</v>
      </c>
      <c r="N302" s="3175" t="s">
        <v>3423</v>
      </c>
      <c r="O302" s="3176">
        <v>23.43</v>
      </c>
      <c r="P302" s="3176">
        <v>7.38</v>
      </c>
    </row>
    <row r="303" spans="1:16" ht="15" thickBot="1">
      <c r="A303" s="3174">
        <v>301</v>
      </c>
      <c r="B303" s="3175" t="s">
        <v>3729</v>
      </c>
      <c r="C303" s="3176">
        <v>89.12</v>
      </c>
      <c r="D303" s="3176">
        <v>28.06</v>
      </c>
      <c r="F303" s="3177">
        <v>301</v>
      </c>
      <c r="G303" s="3175" t="s">
        <v>3666</v>
      </c>
      <c r="H303" s="3178">
        <v>-2064</v>
      </c>
      <c r="I303" s="3179">
        <v>7.96</v>
      </c>
      <c r="J303" s="3179">
        <v>2.5099999999999998</v>
      </c>
      <c r="L303" s="3177">
        <v>301</v>
      </c>
      <c r="M303" s="3175">
        <v>-10274</v>
      </c>
      <c r="N303" s="3175" t="s">
        <v>3423</v>
      </c>
      <c r="O303" s="3176">
        <v>23.43</v>
      </c>
      <c r="P303" s="3176">
        <v>7.38</v>
      </c>
    </row>
    <row r="304" spans="1:16" ht="15" thickBot="1">
      <c r="A304" s="3174">
        <v>302</v>
      </c>
      <c r="B304" s="3175" t="s">
        <v>3730</v>
      </c>
      <c r="C304" s="3176">
        <v>88.83</v>
      </c>
      <c r="D304" s="3176">
        <v>27.97</v>
      </c>
      <c r="F304" s="3177">
        <v>302</v>
      </c>
      <c r="G304" s="3175" t="s">
        <v>3666</v>
      </c>
      <c r="H304" s="3178">
        <v>-2065</v>
      </c>
      <c r="I304" s="3179">
        <v>7.63</v>
      </c>
      <c r="J304" s="3179">
        <v>2.4</v>
      </c>
      <c r="L304" s="3177">
        <v>302</v>
      </c>
      <c r="M304" s="3175">
        <v>-10275</v>
      </c>
      <c r="N304" s="3175" t="s">
        <v>3423</v>
      </c>
      <c r="O304" s="3176">
        <v>23.43</v>
      </c>
      <c r="P304" s="3176">
        <v>7.38</v>
      </c>
    </row>
    <row r="305" spans="1:16" ht="15" thickBot="1">
      <c r="A305" s="3174">
        <v>303</v>
      </c>
      <c r="B305" s="3175" t="s">
        <v>3731</v>
      </c>
      <c r="C305" s="3176">
        <v>88.83</v>
      </c>
      <c r="D305" s="3176">
        <v>27.97</v>
      </c>
      <c r="F305" s="3177">
        <v>303</v>
      </c>
      <c r="G305" s="3175" t="s">
        <v>3666</v>
      </c>
      <c r="H305" s="3178">
        <v>-2066</v>
      </c>
      <c r="I305" s="3179">
        <v>7.63</v>
      </c>
      <c r="J305" s="3179">
        <v>2.4</v>
      </c>
      <c r="L305" s="3177">
        <v>303</v>
      </c>
      <c r="M305" s="3175">
        <v>-10276</v>
      </c>
      <c r="N305" s="3175" t="s">
        <v>3423</v>
      </c>
      <c r="O305" s="3176">
        <v>23.43</v>
      </c>
      <c r="P305" s="3176">
        <v>7.38</v>
      </c>
    </row>
    <row r="306" spans="1:16" ht="15" thickBot="1">
      <c r="A306" s="3174">
        <v>304</v>
      </c>
      <c r="B306" s="3175" t="s">
        <v>3732</v>
      </c>
      <c r="C306" s="3176">
        <v>112.27</v>
      </c>
      <c r="D306" s="3176">
        <v>35.35</v>
      </c>
      <c r="F306" s="3177">
        <v>304</v>
      </c>
      <c r="G306" s="3175" t="s">
        <v>3666</v>
      </c>
      <c r="H306" s="3178">
        <v>-2067</v>
      </c>
      <c r="I306" s="3179">
        <v>7.96</v>
      </c>
      <c r="J306" s="3179">
        <v>2.5099999999999998</v>
      </c>
      <c r="L306" s="3177">
        <v>304</v>
      </c>
      <c r="M306" s="3175">
        <v>-10277</v>
      </c>
      <c r="N306" s="3175" t="s">
        <v>3423</v>
      </c>
      <c r="O306" s="3176">
        <v>23.43</v>
      </c>
      <c r="P306" s="3176">
        <v>7.38</v>
      </c>
    </row>
    <row r="307" spans="1:16" ht="15" thickBot="1">
      <c r="A307" s="3174">
        <v>305</v>
      </c>
      <c r="B307" s="3175" t="s">
        <v>3733</v>
      </c>
      <c r="C307" s="3176">
        <v>89.12</v>
      </c>
      <c r="D307" s="3176">
        <v>28.06</v>
      </c>
      <c r="F307" s="3177">
        <v>305</v>
      </c>
      <c r="G307" s="3175" t="s">
        <v>3666</v>
      </c>
      <c r="H307" s="3178">
        <v>-2068</v>
      </c>
      <c r="I307" s="3179">
        <v>8.1199999999999992</v>
      </c>
      <c r="J307" s="3179">
        <v>2.56</v>
      </c>
      <c r="L307" s="3177">
        <v>305</v>
      </c>
      <c r="M307" s="3175">
        <v>-10278</v>
      </c>
      <c r="N307" s="3175" t="s">
        <v>3423</v>
      </c>
      <c r="O307" s="3176">
        <v>23.43</v>
      </c>
      <c r="P307" s="3176">
        <v>7.38</v>
      </c>
    </row>
    <row r="308" spans="1:16" ht="15" thickBot="1">
      <c r="A308" s="3174">
        <v>306</v>
      </c>
      <c r="B308" s="3175" t="s">
        <v>3734</v>
      </c>
      <c r="C308" s="3176">
        <v>88.83</v>
      </c>
      <c r="D308" s="3176">
        <v>27.97</v>
      </c>
      <c r="F308" s="3177">
        <v>306</v>
      </c>
      <c r="G308" s="3175" t="s">
        <v>3666</v>
      </c>
      <c r="H308" s="3178">
        <v>-2069</v>
      </c>
      <c r="I308" s="3179">
        <v>8.82</v>
      </c>
      <c r="J308" s="3179">
        <v>2.78</v>
      </c>
      <c r="L308" s="3177">
        <v>306</v>
      </c>
      <c r="M308" s="3175">
        <v>-10279</v>
      </c>
      <c r="N308" s="3175" t="s">
        <v>3423</v>
      </c>
      <c r="O308" s="3176">
        <v>23.43</v>
      </c>
      <c r="P308" s="3176">
        <v>7.38</v>
      </c>
    </row>
    <row r="309" spans="1:16" ht="15" thickBot="1">
      <c r="A309" s="3174">
        <v>307</v>
      </c>
      <c r="B309" s="3175" t="s">
        <v>3735</v>
      </c>
      <c r="C309" s="3176">
        <v>88.83</v>
      </c>
      <c r="D309" s="3176">
        <v>27.97</v>
      </c>
      <c r="F309" s="3177">
        <v>307</v>
      </c>
      <c r="G309" s="3175" t="s">
        <v>3666</v>
      </c>
      <c r="H309" s="3178">
        <v>-2070</v>
      </c>
      <c r="I309" s="3179">
        <v>8.9600000000000009</v>
      </c>
      <c r="J309" s="3179">
        <v>2.82</v>
      </c>
      <c r="L309" s="3177">
        <v>307</v>
      </c>
      <c r="M309" s="3175">
        <v>-10280</v>
      </c>
      <c r="N309" s="3175" t="s">
        <v>3423</v>
      </c>
      <c r="O309" s="3176">
        <v>23.43</v>
      </c>
      <c r="P309" s="3176">
        <v>7.38</v>
      </c>
    </row>
    <row r="310" spans="1:16" ht="15" thickBot="1">
      <c r="A310" s="3174">
        <v>308</v>
      </c>
      <c r="B310" s="3175" t="s">
        <v>3736</v>
      </c>
      <c r="C310" s="3176">
        <v>112.27</v>
      </c>
      <c r="D310" s="3176">
        <v>35.35</v>
      </c>
      <c r="F310" s="3177">
        <v>308</v>
      </c>
      <c r="G310" s="3175" t="s">
        <v>3666</v>
      </c>
      <c r="H310" s="3178">
        <v>-2071</v>
      </c>
      <c r="I310" s="3179">
        <v>8.82</v>
      </c>
      <c r="J310" s="3179">
        <v>2.78</v>
      </c>
      <c r="L310" s="3177">
        <v>308</v>
      </c>
      <c r="M310" s="3175">
        <v>-10281</v>
      </c>
      <c r="N310" s="3175" t="s">
        <v>3423</v>
      </c>
      <c r="O310" s="3176">
        <v>23.43</v>
      </c>
      <c r="P310" s="3176">
        <v>7.38</v>
      </c>
    </row>
    <row r="311" spans="1:16" ht="15" thickBot="1">
      <c r="A311" s="3174">
        <v>309</v>
      </c>
      <c r="B311" s="3175" t="s">
        <v>3737</v>
      </c>
      <c r="C311" s="3176">
        <v>89.12</v>
      </c>
      <c r="D311" s="3176">
        <v>28.06</v>
      </c>
      <c r="F311" s="3177">
        <v>309</v>
      </c>
      <c r="G311" s="3175" t="s">
        <v>3666</v>
      </c>
      <c r="H311" s="3178">
        <v>-2072</v>
      </c>
      <c r="I311" s="3179">
        <v>10.87</v>
      </c>
      <c r="J311" s="3179">
        <v>3.42</v>
      </c>
      <c r="L311" s="3177">
        <v>309</v>
      </c>
      <c r="M311" s="3175">
        <v>-10282</v>
      </c>
      <c r="N311" s="3175" t="s">
        <v>3423</v>
      </c>
      <c r="O311" s="3176">
        <v>23.43</v>
      </c>
      <c r="P311" s="3176">
        <v>7.38</v>
      </c>
    </row>
    <row r="312" spans="1:16" ht="15" thickBot="1">
      <c r="A312" s="3174">
        <v>310</v>
      </c>
      <c r="B312" s="3175" t="s">
        <v>3738</v>
      </c>
      <c r="C312" s="3176">
        <v>88.83</v>
      </c>
      <c r="D312" s="3176">
        <v>27.97</v>
      </c>
      <c r="F312" s="3177">
        <v>310</v>
      </c>
      <c r="G312" s="3175" t="s">
        <v>3666</v>
      </c>
      <c r="H312" s="3178">
        <v>-2073</v>
      </c>
      <c r="I312" s="3179">
        <v>7.75</v>
      </c>
      <c r="J312" s="3179">
        <v>2.44</v>
      </c>
      <c r="L312" s="3177">
        <v>310</v>
      </c>
      <c r="M312" s="3175">
        <v>-10283</v>
      </c>
      <c r="N312" s="3175" t="s">
        <v>3423</v>
      </c>
      <c r="O312" s="3176">
        <v>23.43</v>
      </c>
      <c r="P312" s="3176">
        <v>7.38</v>
      </c>
    </row>
    <row r="313" spans="1:16" ht="15" thickBot="1">
      <c r="A313" s="3174">
        <v>311</v>
      </c>
      <c r="B313" s="3175" t="s">
        <v>3739</v>
      </c>
      <c r="C313" s="3176">
        <v>88.83</v>
      </c>
      <c r="D313" s="3176">
        <v>27.97</v>
      </c>
      <c r="F313" s="3177">
        <v>311</v>
      </c>
      <c r="G313" s="3175" t="s">
        <v>3666</v>
      </c>
      <c r="H313" s="3178">
        <v>-2074</v>
      </c>
      <c r="I313" s="3179">
        <v>8.1999999999999993</v>
      </c>
      <c r="J313" s="3179">
        <v>2.58</v>
      </c>
      <c r="L313" s="3177">
        <v>311</v>
      </c>
      <c r="M313" s="3175">
        <v>-10284</v>
      </c>
      <c r="N313" s="3175" t="s">
        <v>3423</v>
      </c>
      <c r="O313" s="3176">
        <v>23.43</v>
      </c>
      <c r="P313" s="3176">
        <v>7.38</v>
      </c>
    </row>
    <row r="314" spans="1:16" ht="15" thickBot="1">
      <c r="A314" s="3174">
        <v>312</v>
      </c>
      <c r="B314" s="3175" t="s">
        <v>3740</v>
      </c>
      <c r="C314" s="3176">
        <v>112.27</v>
      </c>
      <c r="D314" s="3176">
        <v>35.35</v>
      </c>
      <c r="F314" s="3177">
        <v>312</v>
      </c>
      <c r="G314" s="3175" t="s">
        <v>3666</v>
      </c>
      <c r="H314" s="3178">
        <v>-2075</v>
      </c>
      <c r="I314" s="3179">
        <v>7.98</v>
      </c>
      <c r="J314" s="3179">
        <v>2.5099999999999998</v>
      </c>
      <c r="L314" s="3177">
        <v>312</v>
      </c>
      <c r="M314" s="3175">
        <v>-10285</v>
      </c>
      <c r="N314" s="3175" t="s">
        <v>3423</v>
      </c>
      <c r="O314" s="3176">
        <v>23.43</v>
      </c>
      <c r="P314" s="3176">
        <v>7.38</v>
      </c>
    </row>
    <row r="315" spans="1:16" ht="15" thickBot="1">
      <c r="A315" s="3174">
        <v>313</v>
      </c>
      <c r="B315" s="3175" t="s">
        <v>3741</v>
      </c>
      <c r="C315" s="3176">
        <v>112.27</v>
      </c>
      <c r="D315" s="3176">
        <v>35.35</v>
      </c>
      <c r="F315" s="3177">
        <v>313</v>
      </c>
      <c r="G315" s="3175" t="s">
        <v>3742</v>
      </c>
      <c r="H315" s="3178">
        <v>-2001</v>
      </c>
      <c r="I315" s="3179">
        <v>9.52</v>
      </c>
      <c r="J315" s="3179">
        <v>3</v>
      </c>
      <c r="L315" s="3177">
        <v>313</v>
      </c>
      <c r="M315" s="3175">
        <v>-10286</v>
      </c>
      <c r="N315" s="3175" t="s">
        <v>3423</v>
      </c>
      <c r="O315" s="3176">
        <v>23.43</v>
      </c>
      <c r="P315" s="3176">
        <v>7.38</v>
      </c>
    </row>
    <row r="316" spans="1:16" ht="15" thickBot="1">
      <c r="A316" s="3174">
        <v>314</v>
      </c>
      <c r="B316" s="3175" t="s">
        <v>3743</v>
      </c>
      <c r="C316" s="3176">
        <v>88.83</v>
      </c>
      <c r="D316" s="3176">
        <v>27.97</v>
      </c>
      <c r="F316" s="3177">
        <v>314</v>
      </c>
      <c r="G316" s="3175" t="s">
        <v>3742</v>
      </c>
      <c r="H316" s="3178">
        <v>-2002</v>
      </c>
      <c r="I316" s="3179">
        <v>9.67</v>
      </c>
      <c r="J316" s="3179">
        <v>3.04</v>
      </c>
      <c r="L316" s="3177">
        <v>314</v>
      </c>
      <c r="M316" s="3175">
        <v>-10287</v>
      </c>
      <c r="N316" s="3175" t="s">
        <v>3423</v>
      </c>
      <c r="O316" s="3176">
        <v>23.43</v>
      </c>
      <c r="P316" s="3176">
        <v>7.38</v>
      </c>
    </row>
    <row r="317" spans="1:16" ht="15" thickBot="1">
      <c r="A317" s="3174">
        <v>315</v>
      </c>
      <c r="B317" s="3175" t="s">
        <v>3744</v>
      </c>
      <c r="C317" s="3176">
        <v>88.83</v>
      </c>
      <c r="D317" s="3176">
        <v>27.97</v>
      </c>
      <c r="F317" s="3177">
        <v>315</v>
      </c>
      <c r="G317" s="3175" t="s">
        <v>3742</v>
      </c>
      <c r="H317" s="3178">
        <v>-2003</v>
      </c>
      <c r="I317" s="3179">
        <v>8.66</v>
      </c>
      <c r="J317" s="3179">
        <v>2.73</v>
      </c>
      <c r="L317" s="3177">
        <v>315</v>
      </c>
      <c r="M317" s="3175">
        <v>-10288</v>
      </c>
      <c r="N317" s="3175" t="s">
        <v>3423</v>
      </c>
      <c r="O317" s="3176">
        <v>23.43</v>
      </c>
      <c r="P317" s="3176">
        <v>7.38</v>
      </c>
    </row>
    <row r="318" spans="1:16" ht="15" thickBot="1">
      <c r="A318" s="3174">
        <v>316</v>
      </c>
      <c r="B318" s="3175" t="s">
        <v>3745</v>
      </c>
      <c r="C318" s="3176">
        <v>88.25</v>
      </c>
      <c r="D318" s="3176">
        <v>27.78</v>
      </c>
      <c r="F318" s="3177">
        <v>316</v>
      </c>
      <c r="G318" s="3175" t="s">
        <v>3742</v>
      </c>
      <c r="H318" s="3178">
        <v>-2004</v>
      </c>
      <c r="I318" s="3179">
        <v>12.76</v>
      </c>
      <c r="J318" s="3179">
        <v>4.0199999999999996</v>
      </c>
      <c r="L318" s="3177">
        <v>316</v>
      </c>
      <c r="M318" s="3175">
        <v>-10289</v>
      </c>
      <c r="N318" s="3175" t="s">
        <v>3423</v>
      </c>
      <c r="O318" s="3176">
        <v>23.43</v>
      </c>
      <c r="P318" s="3176">
        <v>7.38</v>
      </c>
    </row>
    <row r="319" spans="1:16" ht="15" thickBot="1">
      <c r="A319" s="3174">
        <v>317</v>
      </c>
      <c r="B319" s="3175" t="s">
        <v>3746</v>
      </c>
      <c r="C319" s="3176">
        <v>112.27</v>
      </c>
      <c r="D319" s="3176">
        <v>35.35</v>
      </c>
      <c r="F319" s="3177">
        <v>317</v>
      </c>
      <c r="G319" s="3175" t="s">
        <v>3742</v>
      </c>
      <c r="H319" s="3178">
        <v>-2005</v>
      </c>
      <c r="I319" s="3179">
        <v>8.1199999999999992</v>
      </c>
      <c r="J319" s="3179">
        <v>2.56</v>
      </c>
      <c r="L319" s="3177">
        <v>317</v>
      </c>
      <c r="M319" s="3175">
        <v>-10290</v>
      </c>
      <c r="N319" s="3175" t="s">
        <v>3423</v>
      </c>
      <c r="O319" s="3176">
        <v>23.43</v>
      </c>
      <c r="P319" s="3176">
        <v>7.38</v>
      </c>
    </row>
    <row r="320" spans="1:16" ht="15" thickBot="1">
      <c r="A320" s="3174">
        <v>318</v>
      </c>
      <c r="B320" s="3175" t="s">
        <v>3747</v>
      </c>
      <c r="C320" s="3176">
        <v>88.83</v>
      </c>
      <c r="D320" s="3176">
        <v>27.97</v>
      </c>
      <c r="F320" s="3177">
        <v>318</v>
      </c>
      <c r="G320" s="3175" t="s">
        <v>3742</v>
      </c>
      <c r="H320" s="3178">
        <v>-2006</v>
      </c>
      <c r="I320" s="3179">
        <v>8.43</v>
      </c>
      <c r="J320" s="3179">
        <v>2.65</v>
      </c>
      <c r="L320" s="3177">
        <v>318</v>
      </c>
      <c r="M320" s="3175">
        <v>-10291</v>
      </c>
      <c r="N320" s="3175" t="s">
        <v>3423</v>
      </c>
      <c r="O320" s="3176">
        <v>23.43</v>
      </c>
      <c r="P320" s="3176">
        <v>7.38</v>
      </c>
    </row>
    <row r="321" spans="1:16" ht="15" thickBot="1">
      <c r="A321" s="3174">
        <v>319</v>
      </c>
      <c r="B321" s="3175" t="s">
        <v>3748</v>
      </c>
      <c r="C321" s="3176">
        <v>88.83</v>
      </c>
      <c r="D321" s="3176">
        <v>27.97</v>
      </c>
      <c r="F321" s="3177">
        <v>319</v>
      </c>
      <c r="G321" s="3175" t="s">
        <v>3742</v>
      </c>
      <c r="H321" s="3178">
        <v>-2007</v>
      </c>
      <c r="I321" s="3179">
        <v>15.64</v>
      </c>
      <c r="J321" s="3179">
        <v>4.92</v>
      </c>
      <c r="L321" s="3177">
        <v>319</v>
      </c>
      <c r="M321" s="3175">
        <v>-10292</v>
      </c>
      <c r="N321" s="3175" t="s">
        <v>3423</v>
      </c>
      <c r="O321" s="3176">
        <v>23.43</v>
      </c>
      <c r="P321" s="3176">
        <v>7.38</v>
      </c>
    </row>
    <row r="322" spans="1:16" ht="15" thickBot="1">
      <c r="A322" s="3174">
        <v>320</v>
      </c>
      <c r="B322" s="3175" t="s">
        <v>3749</v>
      </c>
      <c r="C322" s="3176">
        <v>88.25</v>
      </c>
      <c r="D322" s="3176">
        <v>27.78</v>
      </c>
      <c r="F322" s="3177">
        <v>320</v>
      </c>
      <c r="G322" s="3175" t="s">
        <v>3742</v>
      </c>
      <c r="H322" s="3178">
        <v>-2008</v>
      </c>
      <c r="I322" s="3179">
        <v>21.32</v>
      </c>
      <c r="J322" s="3179">
        <v>6.71</v>
      </c>
      <c r="L322" s="3177">
        <v>320</v>
      </c>
      <c r="M322" s="3175">
        <v>-10293</v>
      </c>
      <c r="N322" s="3175" t="s">
        <v>3423</v>
      </c>
      <c r="O322" s="3176">
        <v>23.43</v>
      </c>
      <c r="P322" s="3176">
        <v>7.38</v>
      </c>
    </row>
    <row r="323" spans="1:16" ht="15" thickBot="1">
      <c r="A323" s="3174">
        <v>321</v>
      </c>
      <c r="B323" s="3175" t="s">
        <v>3750</v>
      </c>
      <c r="C323" s="3176">
        <v>112.27</v>
      </c>
      <c r="D323" s="3176">
        <v>35.35</v>
      </c>
      <c r="F323" s="3177">
        <v>321</v>
      </c>
      <c r="G323" s="3175" t="s">
        <v>3742</v>
      </c>
      <c r="H323" s="3178">
        <v>-2009</v>
      </c>
      <c r="I323" s="3179">
        <v>11.73</v>
      </c>
      <c r="J323" s="3179">
        <v>3.69</v>
      </c>
      <c r="L323" s="3177">
        <v>321</v>
      </c>
      <c r="M323" s="3175">
        <v>-10294</v>
      </c>
      <c r="N323" s="3175" t="s">
        <v>3423</v>
      </c>
      <c r="O323" s="3176">
        <v>23.43</v>
      </c>
      <c r="P323" s="3176">
        <v>7.38</v>
      </c>
    </row>
    <row r="324" spans="1:16" ht="15" thickBot="1">
      <c r="A324" s="3174">
        <v>322</v>
      </c>
      <c r="B324" s="3175" t="s">
        <v>3751</v>
      </c>
      <c r="C324" s="3176">
        <v>88.83</v>
      </c>
      <c r="D324" s="3176">
        <v>27.97</v>
      </c>
      <c r="F324" s="3177">
        <v>322</v>
      </c>
      <c r="G324" s="3175" t="s">
        <v>3742</v>
      </c>
      <c r="H324" s="3178">
        <v>-2010</v>
      </c>
      <c r="I324" s="3179">
        <v>11.73</v>
      </c>
      <c r="J324" s="3179">
        <v>3.69</v>
      </c>
      <c r="L324" s="3177">
        <v>322</v>
      </c>
      <c r="M324" s="3175">
        <v>-10295</v>
      </c>
      <c r="N324" s="3175" t="s">
        <v>3423</v>
      </c>
      <c r="O324" s="3176">
        <v>23.43</v>
      </c>
      <c r="P324" s="3176">
        <v>7.38</v>
      </c>
    </row>
    <row r="325" spans="1:16" ht="15" thickBot="1">
      <c r="A325" s="3174">
        <v>323</v>
      </c>
      <c r="B325" s="3175" t="s">
        <v>3752</v>
      </c>
      <c r="C325" s="3176">
        <v>88.83</v>
      </c>
      <c r="D325" s="3176">
        <v>27.97</v>
      </c>
      <c r="F325" s="3177">
        <v>323</v>
      </c>
      <c r="G325" s="3175" t="s">
        <v>3742</v>
      </c>
      <c r="H325" s="3178">
        <v>-2011</v>
      </c>
      <c r="I325" s="3179">
        <v>9.3800000000000008</v>
      </c>
      <c r="J325" s="3179">
        <v>2.95</v>
      </c>
      <c r="L325" s="3177">
        <v>323</v>
      </c>
      <c r="M325" s="3175">
        <v>-10296</v>
      </c>
      <c r="N325" s="3175" t="s">
        <v>3423</v>
      </c>
      <c r="O325" s="3176">
        <v>23.43</v>
      </c>
      <c r="P325" s="3176">
        <v>7.38</v>
      </c>
    </row>
    <row r="326" spans="1:16" ht="15" thickBot="1">
      <c r="A326" s="3174">
        <v>324</v>
      </c>
      <c r="B326" s="3175" t="s">
        <v>3753</v>
      </c>
      <c r="C326" s="3176">
        <v>88.25</v>
      </c>
      <c r="D326" s="3176">
        <v>27.78</v>
      </c>
      <c r="F326" s="3177">
        <v>324</v>
      </c>
      <c r="G326" s="3175" t="s">
        <v>3742</v>
      </c>
      <c r="H326" s="3178">
        <v>-2012</v>
      </c>
      <c r="I326" s="3179">
        <v>9.3800000000000008</v>
      </c>
      <c r="J326" s="3179">
        <v>2.95</v>
      </c>
      <c r="L326" s="3177">
        <v>324</v>
      </c>
      <c r="M326" s="3175">
        <v>-10297</v>
      </c>
      <c r="N326" s="3175" t="s">
        <v>3423</v>
      </c>
      <c r="O326" s="3176">
        <v>23.43</v>
      </c>
      <c r="P326" s="3176">
        <v>7.38</v>
      </c>
    </row>
    <row r="327" spans="1:16" ht="15" thickBot="1">
      <c r="A327" s="3174">
        <v>325</v>
      </c>
      <c r="B327" s="3175" t="s">
        <v>3754</v>
      </c>
      <c r="C327" s="3176">
        <v>112.27</v>
      </c>
      <c r="D327" s="3176">
        <v>35.35</v>
      </c>
      <c r="F327" s="3177">
        <v>325</v>
      </c>
      <c r="G327" s="3175" t="s">
        <v>3742</v>
      </c>
      <c r="H327" s="3178">
        <v>-2013</v>
      </c>
      <c r="I327" s="3179">
        <v>11.73</v>
      </c>
      <c r="J327" s="3179">
        <v>3.69</v>
      </c>
      <c r="L327" s="3177">
        <v>325</v>
      </c>
      <c r="M327" s="3175">
        <v>-10298</v>
      </c>
      <c r="N327" s="3175" t="s">
        <v>3423</v>
      </c>
      <c r="O327" s="3176">
        <v>23.43</v>
      </c>
      <c r="P327" s="3176">
        <v>7.38</v>
      </c>
    </row>
    <row r="328" spans="1:16" ht="15" thickBot="1">
      <c r="A328" s="3174">
        <v>326</v>
      </c>
      <c r="B328" s="3175" t="s">
        <v>3755</v>
      </c>
      <c r="C328" s="3176">
        <v>88.83</v>
      </c>
      <c r="D328" s="3176">
        <v>27.97</v>
      </c>
      <c r="F328" s="3177">
        <v>326</v>
      </c>
      <c r="G328" s="3175" t="s">
        <v>3742</v>
      </c>
      <c r="H328" s="3178">
        <v>-2014</v>
      </c>
      <c r="I328" s="3179">
        <v>11.73</v>
      </c>
      <c r="J328" s="3179">
        <v>3.69</v>
      </c>
      <c r="L328" s="3177">
        <v>326</v>
      </c>
      <c r="M328" s="3175">
        <v>-10299</v>
      </c>
      <c r="N328" s="3175" t="s">
        <v>3423</v>
      </c>
      <c r="O328" s="3176">
        <v>23.43</v>
      </c>
      <c r="P328" s="3176">
        <v>7.38</v>
      </c>
    </row>
    <row r="329" spans="1:16" ht="15" thickBot="1">
      <c r="A329" s="3174">
        <v>327</v>
      </c>
      <c r="B329" s="3175" t="s">
        <v>3756</v>
      </c>
      <c r="C329" s="3176">
        <v>88.83</v>
      </c>
      <c r="D329" s="3176">
        <v>27.97</v>
      </c>
      <c r="F329" s="3177">
        <v>327</v>
      </c>
      <c r="G329" s="3175" t="s">
        <v>3742</v>
      </c>
      <c r="H329" s="3178">
        <v>-2015</v>
      </c>
      <c r="I329" s="3179">
        <v>9.8800000000000008</v>
      </c>
      <c r="J329" s="3179">
        <v>3.11</v>
      </c>
      <c r="L329" s="3177">
        <v>327</v>
      </c>
      <c r="M329" s="3175">
        <v>-10300</v>
      </c>
      <c r="N329" s="3175" t="s">
        <v>3423</v>
      </c>
      <c r="O329" s="3176">
        <v>23.43</v>
      </c>
      <c r="P329" s="3176">
        <v>7.38</v>
      </c>
    </row>
    <row r="330" spans="1:16" ht="15" thickBot="1">
      <c r="A330" s="3174">
        <v>328</v>
      </c>
      <c r="B330" s="3175" t="s">
        <v>3757</v>
      </c>
      <c r="C330" s="3176">
        <v>88.25</v>
      </c>
      <c r="D330" s="3176">
        <v>27.78</v>
      </c>
      <c r="F330" s="3177">
        <v>328</v>
      </c>
      <c r="G330" s="3175" t="s">
        <v>3742</v>
      </c>
      <c r="H330" s="3178">
        <v>-2016</v>
      </c>
      <c r="I330" s="3179">
        <v>11.44</v>
      </c>
      <c r="J330" s="3179">
        <v>3.6</v>
      </c>
      <c r="L330" s="3177">
        <v>328</v>
      </c>
      <c r="M330" s="3175">
        <v>-10301</v>
      </c>
      <c r="N330" s="3175" t="s">
        <v>3423</v>
      </c>
      <c r="O330" s="3176">
        <v>23.43</v>
      </c>
      <c r="P330" s="3176">
        <v>7.38</v>
      </c>
    </row>
    <row r="331" spans="1:16" ht="15" thickBot="1">
      <c r="A331" s="3174">
        <v>329</v>
      </c>
      <c r="B331" s="3175" t="s">
        <v>3758</v>
      </c>
      <c r="C331" s="3176">
        <v>112.27</v>
      </c>
      <c r="D331" s="3176">
        <v>35.35</v>
      </c>
      <c r="F331" s="3177">
        <v>329</v>
      </c>
      <c r="G331" s="3175" t="s">
        <v>3742</v>
      </c>
      <c r="H331" s="3178">
        <v>-2017</v>
      </c>
      <c r="I331" s="3179">
        <v>15.64</v>
      </c>
      <c r="J331" s="3179">
        <v>4.92</v>
      </c>
      <c r="L331" s="3177">
        <v>329</v>
      </c>
      <c r="M331" s="3175">
        <v>-10302</v>
      </c>
      <c r="N331" s="3175" t="s">
        <v>3423</v>
      </c>
      <c r="O331" s="3176">
        <v>23.43</v>
      </c>
      <c r="P331" s="3176">
        <v>7.38</v>
      </c>
    </row>
    <row r="332" spans="1:16" ht="15" thickBot="1">
      <c r="A332" s="3174">
        <v>330</v>
      </c>
      <c r="B332" s="3175" t="s">
        <v>3759</v>
      </c>
      <c r="C332" s="3176">
        <v>88.83</v>
      </c>
      <c r="D332" s="3176">
        <v>27.97</v>
      </c>
      <c r="F332" s="3177">
        <v>330</v>
      </c>
      <c r="G332" s="3175" t="s">
        <v>3742</v>
      </c>
      <c r="H332" s="3178">
        <v>-2018</v>
      </c>
      <c r="I332" s="3179">
        <v>6.92</v>
      </c>
      <c r="J332" s="3179">
        <v>2.1800000000000002</v>
      </c>
      <c r="L332" s="3177">
        <v>330</v>
      </c>
      <c r="M332" s="3175">
        <v>-10303</v>
      </c>
      <c r="N332" s="3175" t="s">
        <v>3423</v>
      </c>
      <c r="O332" s="3176">
        <v>23.43</v>
      </c>
      <c r="P332" s="3176">
        <v>7.38</v>
      </c>
    </row>
    <row r="333" spans="1:16" ht="15" thickBot="1">
      <c r="A333" s="3174">
        <v>331</v>
      </c>
      <c r="B333" s="3175" t="s">
        <v>3760</v>
      </c>
      <c r="C333" s="3176">
        <v>88.83</v>
      </c>
      <c r="D333" s="3176">
        <v>27.97</v>
      </c>
      <c r="F333" s="3177">
        <v>331</v>
      </c>
      <c r="G333" s="3175" t="s">
        <v>3742</v>
      </c>
      <c r="H333" s="3178">
        <v>-2019</v>
      </c>
      <c r="I333" s="3179">
        <v>9.8000000000000007</v>
      </c>
      <c r="J333" s="3179">
        <v>3.09</v>
      </c>
      <c r="L333" s="3177">
        <v>331</v>
      </c>
      <c r="M333" s="3175">
        <v>-10304</v>
      </c>
      <c r="N333" s="3175" t="s">
        <v>3423</v>
      </c>
      <c r="O333" s="3176">
        <v>23.43</v>
      </c>
      <c r="P333" s="3176">
        <v>7.38</v>
      </c>
    </row>
    <row r="334" spans="1:16" ht="15" thickBot="1">
      <c r="A334" s="3174">
        <v>332</v>
      </c>
      <c r="B334" s="3175" t="s">
        <v>3761</v>
      </c>
      <c r="C334" s="3176">
        <v>88.25</v>
      </c>
      <c r="D334" s="3176">
        <v>27.78</v>
      </c>
      <c r="F334" s="3177">
        <v>332</v>
      </c>
      <c r="G334" s="3175" t="s">
        <v>3742</v>
      </c>
      <c r="H334" s="3178">
        <v>-2020</v>
      </c>
      <c r="I334" s="3179">
        <v>13.04</v>
      </c>
      <c r="J334" s="3179">
        <v>4.1100000000000003</v>
      </c>
      <c r="L334" s="3177">
        <v>332</v>
      </c>
      <c r="M334" s="3175">
        <v>-10305</v>
      </c>
      <c r="N334" s="3175" t="s">
        <v>3423</v>
      </c>
      <c r="O334" s="3176">
        <v>23.43</v>
      </c>
      <c r="P334" s="3176">
        <v>7.38</v>
      </c>
    </row>
    <row r="335" spans="1:16" ht="15" thickBot="1">
      <c r="A335" s="3174">
        <v>333</v>
      </c>
      <c r="B335" s="3175" t="s">
        <v>3762</v>
      </c>
      <c r="C335" s="3176">
        <v>112.27</v>
      </c>
      <c r="D335" s="3176">
        <v>35.35</v>
      </c>
      <c r="F335" s="3177">
        <v>333</v>
      </c>
      <c r="G335" s="3175" t="s">
        <v>3742</v>
      </c>
      <c r="H335" s="3178">
        <v>-2021</v>
      </c>
      <c r="I335" s="3179">
        <v>8.94</v>
      </c>
      <c r="J335" s="3179">
        <v>2.81</v>
      </c>
      <c r="L335" s="3177">
        <v>333</v>
      </c>
      <c r="M335" s="3175">
        <v>-10306</v>
      </c>
      <c r="N335" s="3175" t="s">
        <v>3423</v>
      </c>
      <c r="O335" s="3176">
        <v>23.43</v>
      </c>
      <c r="P335" s="3176">
        <v>7.38</v>
      </c>
    </row>
    <row r="336" spans="1:16" ht="15" thickBot="1">
      <c r="A336" s="3174">
        <v>334</v>
      </c>
      <c r="B336" s="3175" t="s">
        <v>3763</v>
      </c>
      <c r="C336" s="3176">
        <v>88.83</v>
      </c>
      <c r="D336" s="3176">
        <v>27.97</v>
      </c>
      <c r="F336" s="3177">
        <v>334</v>
      </c>
      <c r="G336" s="3175" t="s">
        <v>3742</v>
      </c>
      <c r="H336" s="3178">
        <v>-2022</v>
      </c>
      <c r="I336" s="3179">
        <v>12.76</v>
      </c>
      <c r="J336" s="3179">
        <v>4.0199999999999996</v>
      </c>
      <c r="L336" s="3177">
        <v>334</v>
      </c>
      <c r="M336" s="3175">
        <v>-10307</v>
      </c>
      <c r="N336" s="3175" t="s">
        <v>3423</v>
      </c>
      <c r="O336" s="3176">
        <v>23.43</v>
      </c>
      <c r="P336" s="3176">
        <v>7.38</v>
      </c>
    </row>
    <row r="337" spans="1:16" ht="15" thickBot="1">
      <c r="A337" s="3174">
        <v>335</v>
      </c>
      <c r="B337" s="3175" t="s">
        <v>3764</v>
      </c>
      <c r="C337" s="3176">
        <v>88.83</v>
      </c>
      <c r="D337" s="3176">
        <v>27.97</v>
      </c>
      <c r="F337" s="3177">
        <v>335</v>
      </c>
      <c r="G337" s="3175" t="s">
        <v>3742</v>
      </c>
      <c r="H337" s="3178">
        <v>-2023</v>
      </c>
      <c r="I337" s="3179">
        <v>9.02</v>
      </c>
      <c r="J337" s="3179">
        <v>2.84</v>
      </c>
      <c r="L337" s="3177">
        <v>335</v>
      </c>
      <c r="M337" s="3175">
        <v>-10308</v>
      </c>
      <c r="N337" s="3175" t="s">
        <v>3423</v>
      </c>
      <c r="O337" s="3176">
        <v>23.43</v>
      </c>
      <c r="P337" s="3176">
        <v>7.38</v>
      </c>
    </row>
    <row r="338" spans="1:16" ht="15" thickBot="1">
      <c r="A338" s="3174">
        <v>336</v>
      </c>
      <c r="B338" s="3175" t="s">
        <v>3765</v>
      </c>
      <c r="C338" s="3176">
        <v>88.25</v>
      </c>
      <c r="D338" s="3176">
        <v>27.78</v>
      </c>
      <c r="F338" s="3177">
        <v>336</v>
      </c>
      <c r="G338" s="3175" t="s">
        <v>3742</v>
      </c>
      <c r="H338" s="3178">
        <v>-2024</v>
      </c>
      <c r="I338" s="3179">
        <v>8.75</v>
      </c>
      <c r="J338" s="3179">
        <v>2.75</v>
      </c>
      <c r="L338" s="3177">
        <v>336</v>
      </c>
      <c r="M338" s="3175">
        <v>-10309</v>
      </c>
      <c r="N338" s="3175" t="s">
        <v>3423</v>
      </c>
      <c r="O338" s="3176">
        <v>23.43</v>
      </c>
      <c r="P338" s="3176">
        <v>7.38</v>
      </c>
    </row>
    <row r="339" spans="1:16" ht="15" thickBot="1">
      <c r="A339" s="3174">
        <v>337</v>
      </c>
      <c r="B339" s="3175" t="s">
        <v>3766</v>
      </c>
      <c r="C339" s="3176">
        <v>112.27</v>
      </c>
      <c r="D339" s="3176">
        <v>35.35</v>
      </c>
      <c r="F339" s="3177">
        <v>337</v>
      </c>
      <c r="G339" s="3175" t="s">
        <v>3742</v>
      </c>
      <c r="H339" s="3178">
        <v>-2025</v>
      </c>
      <c r="I339" s="3179">
        <v>9.27</v>
      </c>
      <c r="J339" s="3179">
        <v>2.92</v>
      </c>
      <c r="L339" s="3177">
        <v>337</v>
      </c>
      <c r="M339" s="3175">
        <v>-10310</v>
      </c>
      <c r="N339" s="3175" t="s">
        <v>3423</v>
      </c>
      <c r="O339" s="3176">
        <v>23.43</v>
      </c>
      <c r="P339" s="3176">
        <v>7.38</v>
      </c>
    </row>
    <row r="340" spans="1:16" ht="15" thickBot="1">
      <c r="A340" s="3174">
        <v>338</v>
      </c>
      <c r="B340" s="3175" t="s">
        <v>3767</v>
      </c>
      <c r="C340" s="3176">
        <v>88.83</v>
      </c>
      <c r="D340" s="3176">
        <v>27.97</v>
      </c>
      <c r="F340" s="3177">
        <v>338</v>
      </c>
      <c r="G340" s="3175" t="s">
        <v>3742</v>
      </c>
      <c r="H340" s="3178">
        <v>-2026</v>
      </c>
      <c r="I340" s="3179">
        <v>10.93</v>
      </c>
      <c r="J340" s="3179">
        <v>3.44</v>
      </c>
      <c r="L340" s="3177">
        <v>338</v>
      </c>
      <c r="M340" s="3175">
        <v>-10311</v>
      </c>
      <c r="N340" s="3175" t="s">
        <v>3423</v>
      </c>
      <c r="O340" s="3176">
        <v>23.43</v>
      </c>
      <c r="P340" s="3176">
        <v>7.38</v>
      </c>
    </row>
    <row r="341" spans="1:16" ht="15" thickBot="1">
      <c r="A341" s="3174">
        <v>339</v>
      </c>
      <c r="B341" s="3175" t="s">
        <v>3768</v>
      </c>
      <c r="C341" s="3176">
        <v>88.83</v>
      </c>
      <c r="D341" s="3176">
        <v>27.97</v>
      </c>
      <c r="F341" s="3177">
        <v>339</v>
      </c>
      <c r="G341" s="3175" t="s">
        <v>3742</v>
      </c>
      <c r="H341" s="3178">
        <v>-2027</v>
      </c>
      <c r="I341" s="3179">
        <v>9.7799999999999994</v>
      </c>
      <c r="J341" s="3179">
        <v>3.08</v>
      </c>
      <c r="L341" s="3177">
        <v>339</v>
      </c>
      <c r="M341" s="3175">
        <v>-10312</v>
      </c>
      <c r="N341" s="3175" t="s">
        <v>3423</v>
      </c>
      <c r="O341" s="3176">
        <v>23.43</v>
      </c>
      <c r="P341" s="3176">
        <v>7.38</v>
      </c>
    </row>
    <row r="342" spans="1:16" ht="15" thickBot="1">
      <c r="A342" s="3174">
        <v>340</v>
      </c>
      <c r="B342" s="3175" t="s">
        <v>3769</v>
      </c>
      <c r="C342" s="3176">
        <v>88.25</v>
      </c>
      <c r="D342" s="3176">
        <v>27.78</v>
      </c>
      <c r="F342" s="3177">
        <v>340</v>
      </c>
      <c r="G342" s="3175" t="s">
        <v>3742</v>
      </c>
      <c r="H342" s="3178">
        <v>-2028</v>
      </c>
      <c r="I342" s="3179">
        <v>9.94</v>
      </c>
      <c r="J342" s="3179">
        <v>3.13</v>
      </c>
      <c r="L342" s="3177">
        <v>340</v>
      </c>
      <c r="M342" s="3175">
        <v>-10313</v>
      </c>
      <c r="N342" s="3175" t="s">
        <v>3423</v>
      </c>
      <c r="O342" s="3176">
        <v>23.43</v>
      </c>
      <c r="P342" s="3176">
        <v>7.38</v>
      </c>
    </row>
    <row r="343" spans="1:16" ht="15" thickBot="1">
      <c r="A343" s="3174">
        <v>341</v>
      </c>
      <c r="B343" s="3175" t="s">
        <v>3770</v>
      </c>
      <c r="C343" s="3176">
        <v>112.27</v>
      </c>
      <c r="D343" s="3176">
        <v>35.35</v>
      </c>
      <c r="F343" s="3177">
        <v>341</v>
      </c>
      <c r="G343" s="3175" t="s">
        <v>3742</v>
      </c>
      <c r="H343" s="3178">
        <v>-2029</v>
      </c>
      <c r="I343" s="3179">
        <v>9.7799999999999994</v>
      </c>
      <c r="J343" s="3179">
        <v>3.08</v>
      </c>
      <c r="L343" s="3177">
        <v>341</v>
      </c>
      <c r="M343" s="3175">
        <v>-10314</v>
      </c>
      <c r="N343" s="3175" t="s">
        <v>3423</v>
      </c>
      <c r="O343" s="3176">
        <v>23.43</v>
      </c>
      <c r="P343" s="3176">
        <v>7.38</v>
      </c>
    </row>
    <row r="344" spans="1:16" ht="15" thickBot="1">
      <c r="A344" s="3174">
        <v>342</v>
      </c>
      <c r="B344" s="3175" t="s">
        <v>3771</v>
      </c>
      <c r="C344" s="3176">
        <v>88.83</v>
      </c>
      <c r="D344" s="3176">
        <v>27.97</v>
      </c>
      <c r="F344" s="3177">
        <v>342</v>
      </c>
      <c r="G344" s="3175" t="s">
        <v>3742</v>
      </c>
      <c r="H344" s="3178">
        <v>-2030</v>
      </c>
      <c r="I344" s="3179">
        <v>8.3699999999999992</v>
      </c>
      <c r="J344" s="3179">
        <v>2.64</v>
      </c>
      <c r="L344" s="3177">
        <v>342</v>
      </c>
      <c r="M344" s="3175">
        <v>-10315</v>
      </c>
      <c r="N344" s="3175" t="s">
        <v>3423</v>
      </c>
      <c r="O344" s="3176">
        <v>23.43</v>
      </c>
      <c r="P344" s="3176">
        <v>7.38</v>
      </c>
    </row>
    <row r="345" spans="1:16" ht="15" thickBot="1">
      <c r="A345" s="3174">
        <v>343</v>
      </c>
      <c r="B345" s="3175" t="s">
        <v>3772</v>
      </c>
      <c r="C345" s="3176">
        <v>88.83</v>
      </c>
      <c r="D345" s="3176">
        <v>27.97</v>
      </c>
      <c r="F345" s="3177">
        <v>343</v>
      </c>
      <c r="G345" s="3175" t="s">
        <v>3742</v>
      </c>
      <c r="H345" s="3178">
        <v>-2031</v>
      </c>
      <c r="I345" s="3179">
        <v>8.1199999999999992</v>
      </c>
      <c r="J345" s="3179">
        <v>2.56</v>
      </c>
      <c r="L345" s="3177">
        <v>343</v>
      </c>
      <c r="M345" s="3175">
        <v>-10316</v>
      </c>
      <c r="N345" s="3175" t="s">
        <v>3423</v>
      </c>
      <c r="O345" s="3176">
        <v>23.43</v>
      </c>
      <c r="P345" s="3176">
        <v>7.38</v>
      </c>
    </row>
    <row r="346" spans="1:16" ht="15" thickBot="1">
      <c r="A346" s="3174">
        <v>344</v>
      </c>
      <c r="B346" s="3175" t="s">
        <v>3773</v>
      </c>
      <c r="C346" s="3176">
        <v>88.25</v>
      </c>
      <c r="D346" s="3176">
        <v>27.78</v>
      </c>
      <c r="F346" s="3177">
        <v>344</v>
      </c>
      <c r="G346" s="3175" t="s">
        <v>3742</v>
      </c>
      <c r="H346" s="3178">
        <v>-2032</v>
      </c>
      <c r="I346" s="3179">
        <v>8.1199999999999992</v>
      </c>
      <c r="J346" s="3179">
        <v>2.56</v>
      </c>
      <c r="L346" s="3177">
        <v>344</v>
      </c>
      <c r="M346" s="3175">
        <v>-10317</v>
      </c>
      <c r="N346" s="3175" t="s">
        <v>3423</v>
      </c>
      <c r="O346" s="3176">
        <v>23.43</v>
      </c>
      <c r="P346" s="3176">
        <v>7.38</v>
      </c>
    </row>
    <row r="347" spans="1:16" ht="15" thickBot="1">
      <c r="A347" s="3174">
        <v>345</v>
      </c>
      <c r="B347" s="3175" t="s">
        <v>3774</v>
      </c>
      <c r="C347" s="3176">
        <v>112.27</v>
      </c>
      <c r="D347" s="3176">
        <v>35.35</v>
      </c>
      <c r="F347" s="3177">
        <v>345</v>
      </c>
      <c r="G347" s="3175" t="s">
        <v>3742</v>
      </c>
      <c r="H347" s="3178">
        <v>-2033</v>
      </c>
      <c r="I347" s="3179">
        <v>8.4700000000000006</v>
      </c>
      <c r="J347" s="3179">
        <v>2.67</v>
      </c>
      <c r="L347" s="3177">
        <v>345</v>
      </c>
      <c r="M347" s="3175">
        <v>-10318</v>
      </c>
      <c r="N347" s="3175" t="s">
        <v>3423</v>
      </c>
      <c r="O347" s="3176">
        <v>23.43</v>
      </c>
      <c r="P347" s="3176">
        <v>7.38</v>
      </c>
    </row>
    <row r="348" spans="1:16" ht="15" thickBot="1">
      <c r="A348" s="3174">
        <v>346</v>
      </c>
      <c r="B348" s="3175" t="s">
        <v>3775</v>
      </c>
      <c r="C348" s="3176">
        <v>88.83</v>
      </c>
      <c r="D348" s="3176">
        <v>27.97</v>
      </c>
      <c r="F348" s="3177">
        <v>346</v>
      </c>
      <c r="G348" s="3175" t="s">
        <v>3742</v>
      </c>
      <c r="H348" s="3178">
        <v>-2034</v>
      </c>
      <c r="I348" s="3179">
        <v>8.4700000000000006</v>
      </c>
      <c r="J348" s="3179">
        <v>2.67</v>
      </c>
      <c r="L348" s="3177">
        <v>346</v>
      </c>
      <c r="M348" s="3175">
        <v>-10319</v>
      </c>
      <c r="N348" s="3175" t="s">
        <v>3423</v>
      </c>
      <c r="O348" s="3176">
        <v>23.43</v>
      </c>
      <c r="P348" s="3176">
        <v>7.38</v>
      </c>
    </row>
    <row r="349" spans="1:16" ht="15" thickBot="1">
      <c r="A349" s="3174">
        <v>347</v>
      </c>
      <c r="B349" s="3175" t="s">
        <v>3776</v>
      </c>
      <c r="C349" s="3176">
        <v>88.83</v>
      </c>
      <c r="D349" s="3176">
        <v>27.97</v>
      </c>
      <c r="F349" s="3177">
        <v>347</v>
      </c>
      <c r="G349" s="3175" t="s">
        <v>3742</v>
      </c>
      <c r="H349" s="3178">
        <v>-2035</v>
      </c>
      <c r="I349" s="3179">
        <v>8.1199999999999992</v>
      </c>
      <c r="J349" s="3179">
        <v>2.56</v>
      </c>
      <c r="L349" s="3177">
        <v>347</v>
      </c>
      <c r="M349" s="3175">
        <v>-10320</v>
      </c>
      <c r="N349" s="3175" t="s">
        <v>3423</v>
      </c>
      <c r="O349" s="3176">
        <v>23.43</v>
      </c>
      <c r="P349" s="3176">
        <v>7.38</v>
      </c>
    </row>
    <row r="350" spans="1:16" ht="15" thickBot="1">
      <c r="A350" s="3174">
        <v>348</v>
      </c>
      <c r="B350" s="3175" t="s">
        <v>3777</v>
      </c>
      <c r="C350" s="3176">
        <v>88.25</v>
      </c>
      <c r="D350" s="3176">
        <v>27.78</v>
      </c>
      <c r="F350" s="3177">
        <v>348</v>
      </c>
      <c r="G350" s="3175" t="s">
        <v>3742</v>
      </c>
      <c r="H350" s="3178">
        <v>-2036</v>
      </c>
      <c r="I350" s="3179">
        <v>8.1199999999999992</v>
      </c>
      <c r="J350" s="3179">
        <v>2.56</v>
      </c>
      <c r="L350" s="3177">
        <v>348</v>
      </c>
      <c r="M350" s="3175">
        <v>-10321</v>
      </c>
      <c r="N350" s="3175" t="s">
        <v>3423</v>
      </c>
      <c r="O350" s="3176">
        <v>23.43</v>
      </c>
      <c r="P350" s="3176">
        <v>7.38</v>
      </c>
    </row>
    <row r="351" spans="1:16" ht="15" thickBot="1">
      <c r="A351" s="3174">
        <v>349</v>
      </c>
      <c r="B351" s="3175" t="s">
        <v>3778</v>
      </c>
      <c r="C351" s="3176">
        <v>112.27</v>
      </c>
      <c r="D351" s="3176">
        <v>35.35</v>
      </c>
      <c r="F351" s="3177">
        <v>349</v>
      </c>
      <c r="G351" s="3175" t="s">
        <v>3742</v>
      </c>
      <c r="H351" s="3178">
        <v>-2037</v>
      </c>
      <c r="I351" s="3179">
        <v>8.3699999999999992</v>
      </c>
      <c r="J351" s="3179">
        <v>2.64</v>
      </c>
      <c r="L351" s="3177">
        <v>349</v>
      </c>
      <c r="M351" s="3175">
        <v>-10322</v>
      </c>
      <c r="N351" s="3175" t="s">
        <v>3423</v>
      </c>
      <c r="O351" s="3176">
        <v>23.43</v>
      </c>
      <c r="P351" s="3176">
        <v>7.38</v>
      </c>
    </row>
    <row r="352" spans="1:16" ht="15" thickBot="1">
      <c r="A352" s="3174">
        <v>350</v>
      </c>
      <c r="B352" s="3175" t="s">
        <v>3779</v>
      </c>
      <c r="C352" s="3176">
        <v>88.83</v>
      </c>
      <c r="D352" s="3176">
        <v>27.97</v>
      </c>
      <c r="F352" s="3177">
        <v>350</v>
      </c>
      <c r="G352" s="3175" t="s">
        <v>3742</v>
      </c>
      <c r="H352" s="3178">
        <v>-2038</v>
      </c>
      <c r="I352" s="3179">
        <v>9.7799999999999994</v>
      </c>
      <c r="J352" s="3179">
        <v>3.08</v>
      </c>
      <c r="L352" s="3177">
        <v>350</v>
      </c>
      <c r="M352" s="3175">
        <v>-10323</v>
      </c>
      <c r="N352" s="3175" t="s">
        <v>3423</v>
      </c>
      <c r="O352" s="3176">
        <v>23.43</v>
      </c>
      <c r="P352" s="3176">
        <v>7.38</v>
      </c>
    </row>
    <row r="353" spans="1:16" ht="15" thickBot="1">
      <c r="A353" s="3174">
        <v>351</v>
      </c>
      <c r="B353" s="3175" t="s">
        <v>3780</v>
      </c>
      <c r="C353" s="3176">
        <v>88.83</v>
      </c>
      <c r="D353" s="3176">
        <v>27.97</v>
      </c>
      <c r="F353" s="3177">
        <v>351</v>
      </c>
      <c r="G353" s="3175" t="s">
        <v>3742</v>
      </c>
      <c r="H353" s="3178">
        <v>-2039</v>
      </c>
      <c r="I353" s="3179">
        <v>9.94</v>
      </c>
      <c r="J353" s="3179">
        <v>3.13</v>
      </c>
      <c r="L353" s="3177">
        <v>351</v>
      </c>
      <c r="M353" s="3175">
        <v>-10324</v>
      </c>
      <c r="N353" s="3175" t="s">
        <v>3423</v>
      </c>
      <c r="O353" s="3176">
        <v>23.43</v>
      </c>
      <c r="P353" s="3176">
        <v>7.38</v>
      </c>
    </row>
    <row r="354" spans="1:16" ht="15" thickBot="1">
      <c r="A354" s="3174">
        <v>352</v>
      </c>
      <c r="B354" s="3175" t="s">
        <v>3781</v>
      </c>
      <c r="C354" s="3176">
        <v>88.25</v>
      </c>
      <c r="D354" s="3176">
        <v>27.78</v>
      </c>
      <c r="F354" s="3177">
        <v>352</v>
      </c>
      <c r="G354" s="3175" t="s">
        <v>3742</v>
      </c>
      <c r="H354" s="3178">
        <v>-2040</v>
      </c>
      <c r="I354" s="3179">
        <v>9.7799999999999994</v>
      </c>
      <c r="J354" s="3179">
        <v>3.08</v>
      </c>
      <c r="L354" s="3177">
        <v>352</v>
      </c>
      <c r="M354" s="3175">
        <v>-10325</v>
      </c>
      <c r="N354" s="3175" t="s">
        <v>3423</v>
      </c>
      <c r="O354" s="3176">
        <v>23.43</v>
      </c>
      <c r="P354" s="3176">
        <v>7.38</v>
      </c>
    </row>
    <row r="355" spans="1:16" ht="15" thickBot="1">
      <c r="A355" s="3174">
        <v>353</v>
      </c>
      <c r="B355" s="3175" t="s">
        <v>3782</v>
      </c>
      <c r="C355" s="3176">
        <v>112.27</v>
      </c>
      <c r="D355" s="3176">
        <v>35.35</v>
      </c>
      <c r="F355" s="3177">
        <v>353</v>
      </c>
      <c r="G355" s="3175" t="s">
        <v>3742</v>
      </c>
      <c r="H355" s="3178">
        <v>-2041</v>
      </c>
      <c r="I355" s="3179">
        <v>9.44</v>
      </c>
      <c r="J355" s="3179">
        <v>2.97</v>
      </c>
      <c r="L355" s="3177">
        <v>353</v>
      </c>
      <c r="M355" s="3175">
        <v>-10326</v>
      </c>
      <c r="N355" s="3175" t="s">
        <v>3423</v>
      </c>
      <c r="O355" s="3176">
        <v>23.43</v>
      </c>
      <c r="P355" s="3176">
        <v>7.38</v>
      </c>
    </row>
    <row r="356" spans="1:16" ht="15" thickBot="1">
      <c r="A356" s="3174">
        <v>354</v>
      </c>
      <c r="B356" s="3175" t="s">
        <v>3783</v>
      </c>
      <c r="C356" s="3176">
        <v>88.83</v>
      </c>
      <c r="D356" s="3176">
        <v>27.97</v>
      </c>
      <c r="F356" s="3177">
        <v>354</v>
      </c>
      <c r="G356" s="3175" t="s">
        <v>3742</v>
      </c>
      <c r="H356" s="3178">
        <v>-2042</v>
      </c>
      <c r="I356" s="3179">
        <v>8.52</v>
      </c>
      <c r="J356" s="3179">
        <v>2.68</v>
      </c>
      <c r="L356" s="3177">
        <v>354</v>
      </c>
      <c r="M356" s="3175">
        <v>-10327</v>
      </c>
      <c r="N356" s="3175" t="s">
        <v>3423</v>
      </c>
      <c r="O356" s="3176">
        <v>23.43</v>
      </c>
      <c r="P356" s="3176">
        <v>7.38</v>
      </c>
    </row>
    <row r="357" spans="1:16" ht="15" thickBot="1">
      <c r="A357" s="3174">
        <v>355</v>
      </c>
      <c r="B357" s="3175" t="s">
        <v>3784</v>
      </c>
      <c r="C357" s="3176">
        <v>88.83</v>
      </c>
      <c r="D357" s="3176">
        <v>27.97</v>
      </c>
      <c r="F357" s="3177">
        <v>355</v>
      </c>
      <c r="G357" s="3175" t="s">
        <v>3742</v>
      </c>
      <c r="H357" s="3178">
        <v>-2043</v>
      </c>
      <c r="I357" s="3179">
        <v>9.57</v>
      </c>
      <c r="J357" s="3179">
        <v>3.01</v>
      </c>
      <c r="L357" s="3177">
        <v>355</v>
      </c>
      <c r="M357" s="3175">
        <v>-10328</v>
      </c>
      <c r="N357" s="3175" t="s">
        <v>3423</v>
      </c>
      <c r="O357" s="3176">
        <v>23.43</v>
      </c>
      <c r="P357" s="3176">
        <v>7.38</v>
      </c>
    </row>
    <row r="358" spans="1:16" ht="15" thickBot="1">
      <c r="A358" s="3174">
        <v>356</v>
      </c>
      <c r="B358" s="3175" t="s">
        <v>3785</v>
      </c>
      <c r="C358" s="3176">
        <v>88.25</v>
      </c>
      <c r="D358" s="3176">
        <v>27.78</v>
      </c>
      <c r="F358" s="3177">
        <v>356</v>
      </c>
      <c r="G358" s="3175" t="s">
        <v>3742</v>
      </c>
      <c r="H358" s="3178">
        <v>-2044</v>
      </c>
      <c r="I358" s="3179">
        <v>13.14</v>
      </c>
      <c r="J358" s="3179">
        <v>4.1399999999999997</v>
      </c>
      <c r="L358" s="3177">
        <v>356</v>
      </c>
      <c r="M358" s="3175">
        <v>-10329</v>
      </c>
      <c r="N358" s="3175" t="s">
        <v>3423</v>
      </c>
      <c r="O358" s="3176">
        <v>23.43</v>
      </c>
      <c r="P358" s="3176">
        <v>7.38</v>
      </c>
    </row>
    <row r="359" spans="1:16" ht="15" thickBot="1">
      <c r="A359" s="3174">
        <v>357</v>
      </c>
      <c r="B359" s="3175" t="s">
        <v>3786</v>
      </c>
      <c r="C359" s="3176">
        <v>112.27</v>
      </c>
      <c r="D359" s="3176">
        <v>35.35</v>
      </c>
      <c r="F359" s="3177">
        <v>357</v>
      </c>
      <c r="G359" s="3175" t="s">
        <v>3742</v>
      </c>
      <c r="H359" s="3178">
        <v>-2045</v>
      </c>
      <c r="I359" s="3179">
        <v>13.14</v>
      </c>
      <c r="J359" s="3179">
        <v>4.1399999999999997</v>
      </c>
      <c r="L359" s="3177">
        <v>357</v>
      </c>
      <c r="M359" s="3175">
        <v>-10330</v>
      </c>
      <c r="N359" s="3175" t="s">
        <v>3423</v>
      </c>
      <c r="O359" s="3176">
        <v>23.43</v>
      </c>
      <c r="P359" s="3176">
        <v>7.38</v>
      </c>
    </row>
    <row r="360" spans="1:16" ht="15" thickBot="1">
      <c r="A360" s="3174">
        <v>358</v>
      </c>
      <c r="B360" s="3175" t="s">
        <v>3787</v>
      </c>
      <c r="C360" s="3176">
        <v>88.83</v>
      </c>
      <c r="D360" s="3176">
        <v>27.97</v>
      </c>
      <c r="F360" s="3177">
        <v>358</v>
      </c>
      <c r="G360" s="3175" t="s">
        <v>3742</v>
      </c>
      <c r="H360" s="3178">
        <v>-2046</v>
      </c>
      <c r="I360" s="3179">
        <v>13.14</v>
      </c>
      <c r="J360" s="3179">
        <v>4.1399999999999997</v>
      </c>
      <c r="L360" s="3177">
        <v>358</v>
      </c>
      <c r="M360" s="3175">
        <v>-10331</v>
      </c>
      <c r="N360" s="3175" t="s">
        <v>3423</v>
      </c>
      <c r="O360" s="3176">
        <v>23.43</v>
      </c>
      <c r="P360" s="3176">
        <v>7.38</v>
      </c>
    </row>
    <row r="361" spans="1:16" ht="15" thickBot="1">
      <c r="A361" s="3174">
        <v>359</v>
      </c>
      <c r="B361" s="3175" t="s">
        <v>3788</v>
      </c>
      <c r="C361" s="3176">
        <v>88.83</v>
      </c>
      <c r="D361" s="3176">
        <v>27.97</v>
      </c>
      <c r="F361" s="3177">
        <v>359</v>
      </c>
      <c r="G361" s="3175" t="s">
        <v>3742</v>
      </c>
      <c r="H361" s="3178">
        <v>-2047</v>
      </c>
      <c r="I361" s="3179">
        <v>13.14</v>
      </c>
      <c r="J361" s="3179">
        <v>4.1399999999999997</v>
      </c>
      <c r="L361" s="3177">
        <v>359</v>
      </c>
      <c r="M361" s="3175">
        <v>-10332</v>
      </c>
      <c r="N361" s="3175" t="s">
        <v>3423</v>
      </c>
      <c r="O361" s="3176">
        <v>23.43</v>
      </c>
      <c r="P361" s="3176">
        <v>7.38</v>
      </c>
    </row>
    <row r="362" spans="1:16" ht="15" thickBot="1">
      <c r="A362" s="3174">
        <v>360</v>
      </c>
      <c r="B362" s="3175" t="s">
        <v>3789</v>
      </c>
      <c r="C362" s="3176">
        <v>88.25</v>
      </c>
      <c r="D362" s="3176">
        <v>27.78</v>
      </c>
      <c r="F362" s="3177">
        <v>360</v>
      </c>
      <c r="G362" s="3175" t="s">
        <v>3742</v>
      </c>
      <c r="H362" s="3178">
        <v>-2048</v>
      </c>
      <c r="I362" s="3179">
        <v>9.57</v>
      </c>
      <c r="J362" s="3179">
        <v>3.01</v>
      </c>
      <c r="L362" s="3177">
        <v>360</v>
      </c>
      <c r="M362" s="3175">
        <v>-10333</v>
      </c>
      <c r="N362" s="3175" t="s">
        <v>3423</v>
      </c>
      <c r="O362" s="3176">
        <v>23.43</v>
      </c>
      <c r="P362" s="3176">
        <v>7.38</v>
      </c>
    </row>
    <row r="363" spans="1:16" ht="15" thickBot="1">
      <c r="A363" s="3174">
        <v>361</v>
      </c>
      <c r="B363" s="3175" t="s">
        <v>3790</v>
      </c>
      <c r="C363" s="3176">
        <v>112.27</v>
      </c>
      <c r="D363" s="3176">
        <v>35.35</v>
      </c>
      <c r="F363" s="3177">
        <v>361</v>
      </c>
      <c r="G363" s="3175" t="s">
        <v>3742</v>
      </c>
      <c r="H363" s="3178">
        <v>-2049</v>
      </c>
      <c r="I363" s="3179">
        <v>13.01</v>
      </c>
      <c r="J363" s="3179">
        <v>4.0999999999999996</v>
      </c>
      <c r="L363" s="3177">
        <v>361</v>
      </c>
      <c r="M363" s="3175">
        <v>-10334</v>
      </c>
      <c r="N363" s="3175" t="s">
        <v>3423</v>
      </c>
      <c r="O363" s="3176">
        <v>23.43</v>
      </c>
      <c r="P363" s="3176">
        <v>7.38</v>
      </c>
    </row>
    <row r="364" spans="1:16" ht="15" thickBot="1">
      <c r="A364" s="3174">
        <v>362</v>
      </c>
      <c r="B364" s="3175" t="s">
        <v>3791</v>
      </c>
      <c r="C364" s="3176">
        <v>88.83</v>
      </c>
      <c r="D364" s="3176">
        <v>27.97</v>
      </c>
      <c r="F364" s="3177">
        <v>362</v>
      </c>
      <c r="G364" s="3175" t="s">
        <v>3742</v>
      </c>
      <c r="H364" s="3178">
        <v>-2050</v>
      </c>
      <c r="I364" s="3179">
        <v>9.7799999999999994</v>
      </c>
      <c r="J364" s="3179">
        <v>3.08</v>
      </c>
      <c r="L364" s="3177">
        <v>362</v>
      </c>
      <c r="M364" s="3175">
        <v>-10335</v>
      </c>
      <c r="N364" s="3175" t="s">
        <v>3423</v>
      </c>
      <c r="O364" s="3176">
        <v>23.43</v>
      </c>
      <c r="P364" s="3176">
        <v>7.38</v>
      </c>
    </row>
    <row r="365" spans="1:16" ht="15" thickBot="1">
      <c r="A365" s="3174">
        <v>363</v>
      </c>
      <c r="B365" s="3175" t="s">
        <v>3792</v>
      </c>
      <c r="C365" s="3176">
        <v>88.83</v>
      </c>
      <c r="D365" s="3176">
        <v>27.97</v>
      </c>
      <c r="F365" s="3177">
        <v>363</v>
      </c>
      <c r="G365" s="3175" t="s">
        <v>3742</v>
      </c>
      <c r="H365" s="3178">
        <v>-2051</v>
      </c>
      <c r="I365" s="3179">
        <v>16.82</v>
      </c>
      <c r="J365" s="3179">
        <v>5.3</v>
      </c>
      <c r="L365" s="3177">
        <v>363</v>
      </c>
      <c r="M365" s="3175">
        <v>-10336</v>
      </c>
      <c r="N365" s="3175" t="s">
        <v>3423</v>
      </c>
      <c r="O365" s="3176">
        <v>23.43</v>
      </c>
      <c r="P365" s="3176">
        <v>7.38</v>
      </c>
    </row>
    <row r="366" spans="1:16" ht="15" thickBot="1">
      <c r="A366" s="3174">
        <v>364</v>
      </c>
      <c r="B366" s="3175" t="s">
        <v>3793</v>
      </c>
      <c r="C366" s="3176">
        <v>88.25</v>
      </c>
      <c r="D366" s="3176">
        <v>27.78</v>
      </c>
      <c r="F366" s="3177">
        <v>364</v>
      </c>
      <c r="G366" s="3175" t="s">
        <v>3742</v>
      </c>
      <c r="H366" s="3178">
        <v>-2052</v>
      </c>
      <c r="I366" s="3179">
        <v>9.44</v>
      </c>
      <c r="J366" s="3179">
        <v>2.97</v>
      </c>
      <c r="L366" s="3177">
        <v>364</v>
      </c>
      <c r="M366" s="3175">
        <v>-10337</v>
      </c>
      <c r="N366" s="3175" t="s">
        <v>3423</v>
      </c>
      <c r="O366" s="3176">
        <v>23.43</v>
      </c>
      <c r="P366" s="3176">
        <v>7.38</v>
      </c>
    </row>
    <row r="367" spans="1:16" ht="15" thickBot="1">
      <c r="A367" s="3174">
        <v>365</v>
      </c>
      <c r="B367" s="3175" t="s">
        <v>3794</v>
      </c>
      <c r="C367" s="3176">
        <v>112.27</v>
      </c>
      <c r="D367" s="3176">
        <v>35.35</v>
      </c>
      <c r="F367" s="3177">
        <v>365</v>
      </c>
      <c r="G367" s="3175" t="s">
        <v>3742</v>
      </c>
      <c r="H367" s="3178">
        <v>-2053</v>
      </c>
      <c r="I367" s="3179">
        <v>8.52</v>
      </c>
      <c r="J367" s="3179">
        <v>2.68</v>
      </c>
      <c r="L367" s="3177">
        <v>365</v>
      </c>
      <c r="M367" s="3175">
        <v>-10338</v>
      </c>
      <c r="N367" s="3175" t="s">
        <v>3423</v>
      </c>
      <c r="O367" s="3176">
        <v>23.43</v>
      </c>
      <c r="P367" s="3176">
        <v>7.38</v>
      </c>
    </row>
    <row r="368" spans="1:16" ht="15" thickBot="1">
      <c r="A368" s="3174">
        <v>366</v>
      </c>
      <c r="B368" s="3175" t="s">
        <v>3795</v>
      </c>
      <c r="C368" s="3176">
        <v>88.83</v>
      </c>
      <c r="D368" s="3176">
        <v>27.97</v>
      </c>
      <c r="F368" s="3177">
        <v>366</v>
      </c>
      <c r="G368" s="3175" t="s">
        <v>3742</v>
      </c>
      <c r="H368" s="3178">
        <v>-2054</v>
      </c>
      <c r="I368" s="3179">
        <v>9.57</v>
      </c>
      <c r="J368" s="3179">
        <v>3.01</v>
      </c>
      <c r="L368" s="3177">
        <v>366</v>
      </c>
      <c r="M368" s="3175">
        <v>-10339</v>
      </c>
      <c r="N368" s="3175" t="s">
        <v>3423</v>
      </c>
      <c r="O368" s="3176">
        <v>23.43</v>
      </c>
      <c r="P368" s="3176">
        <v>7.38</v>
      </c>
    </row>
    <row r="369" spans="1:16" ht="15" thickBot="1">
      <c r="A369" s="3174">
        <v>367</v>
      </c>
      <c r="B369" s="3175" t="s">
        <v>3796</v>
      </c>
      <c r="C369" s="3176">
        <v>88.83</v>
      </c>
      <c r="D369" s="3176">
        <v>27.97</v>
      </c>
      <c r="F369" s="3177">
        <v>367</v>
      </c>
      <c r="G369" s="3175" t="s">
        <v>3742</v>
      </c>
      <c r="H369" s="3178">
        <v>-2055</v>
      </c>
      <c r="I369" s="3179">
        <v>9.7799999999999994</v>
      </c>
      <c r="J369" s="3179">
        <v>3.08</v>
      </c>
      <c r="L369" s="3177">
        <v>367</v>
      </c>
      <c r="M369" s="3175">
        <v>-10340</v>
      </c>
      <c r="N369" s="3175" t="s">
        <v>3423</v>
      </c>
      <c r="O369" s="3176">
        <v>23.43</v>
      </c>
      <c r="P369" s="3176">
        <v>7.38</v>
      </c>
    </row>
    <row r="370" spans="1:16" ht="15" thickBot="1">
      <c r="A370" s="3174">
        <v>368</v>
      </c>
      <c r="B370" s="3175" t="s">
        <v>3797</v>
      </c>
      <c r="C370" s="3176">
        <v>88.25</v>
      </c>
      <c r="D370" s="3176">
        <v>27.78</v>
      </c>
      <c r="F370" s="3177">
        <v>368</v>
      </c>
      <c r="G370" s="3175" t="s">
        <v>3742</v>
      </c>
      <c r="H370" s="3178">
        <v>-2056</v>
      </c>
      <c r="I370" s="3179">
        <v>9.94</v>
      </c>
      <c r="J370" s="3179">
        <v>3.13</v>
      </c>
      <c r="L370" s="3177">
        <v>368</v>
      </c>
      <c r="M370" s="3175">
        <v>-10341</v>
      </c>
      <c r="N370" s="3175" t="s">
        <v>3423</v>
      </c>
      <c r="O370" s="3176">
        <v>23.43</v>
      </c>
      <c r="P370" s="3176">
        <v>7.38</v>
      </c>
    </row>
    <row r="371" spans="1:16" ht="15" thickBot="1">
      <c r="A371" s="3174">
        <v>369</v>
      </c>
      <c r="B371" s="3175" t="s">
        <v>3798</v>
      </c>
      <c r="C371" s="3176">
        <v>112.27</v>
      </c>
      <c r="D371" s="3176">
        <v>35.35</v>
      </c>
      <c r="F371" s="3177">
        <v>369</v>
      </c>
      <c r="G371" s="3175" t="s">
        <v>3742</v>
      </c>
      <c r="H371" s="3178">
        <v>-2057</v>
      </c>
      <c r="I371" s="3179">
        <v>9.7799999999999994</v>
      </c>
      <c r="J371" s="3179">
        <v>3.08</v>
      </c>
      <c r="L371" s="3177">
        <v>369</v>
      </c>
      <c r="M371" s="3175">
        <v>-10342</v>
      </c>
      <c r="N371" s="3175" t="s">
        <v>3423</v>
      </c>
      <c r="O371" s="3176">
        <v>23.43</v>
      </c>
      <c r="P371" s="3176">
        <v>7.38</v>
      </c>
    </row>
    <row r="372" spans="1:16" ht="15" thickBot="1">
      <c r="A372" s="3174">
        <v>370</v>
      </c>
      <c r="B372" s="3175" t="s">
        <v>3799</v>
      </c>
      <c r="C372" s="3176">
        <v>88.83</v>
      </c>
      <c r="D372" s="3176">
        <v>27.97</v>
      </c>
      <c r="F372" s="3177">
        <v>370</v>
      </c>
      <c r="G372" s="3175" t="s">
        <v>3742</v>
      </c>
      <c r="H372" s="3178">
        <v>-2058</v>
      </c>
      <c r="I372" s="3179">
        <v>8.3699999999999992</v>
      </c>
      <c r="J372" s="3179">
        <v>2.64</v>
      </c>
      <c r="L372" s="3177">
        <v>370</v>
      </c>
      <c r="M372" s="3175">
        <v>-10343</v>
      </c>
      <c r="N372" s="3175" t="s">
        <v>3423</v>
      </c>
      <c r="O372" s="3176">
        <v>23.43</v>
      </c>
      <c r="P372" s="3176">
        <v>7.38</v>
      </c>
    </row>
    <row r="373" spans="1:16" ht="15" thickBot="1">
      <c r="A373" s="3174">
        <v>371</v>
      </c>
      <c r="B373" s="3175" t="s">
        <v>3800</v>
      </c>
      <c r="C373" s="3176">
        <v>88.83</v>
      </c>
      <c r="D373" s="3176">
        <v>27.97</v>
      </c>
      <c r="F373" s="3177">
        <v>371</v>
      </c>
      <c r="G373" s="3175" t="s">
        <v>3742</v>
      </c>
      <c r="H373" s="3178">
        <v>-2059</v>
      </c>
      <c r="I373" s="3179">
        <v>8.1199999999999992</v>
      </c>
      <c r="J373" s="3179">
        <v>2.56</v>
      </c>
      <c r="L373" s="3177">
        <v>371</v>
      </c>
      <c r="M373" s="3175">
        <v>-10344</v>
      </c>
      <c r="N373" s="3175" t="s">
        <v>3423</v>
      </c>
      <c r="O373" s="3176">
        <v>23.43</v>
      </c>
      <c r="P373" s="3176">
        <v>7.38</v>
      </c>
    </row>
    <row r="374" spans="1:16" ht="15" thickBot="1">
      <c r="A374" s="3174">
        <v>372</v>
      </c>
      <c r="B374" s="3175" t="s">
        <v>3801</v>
      </c>
      <c r="C374" s="3176">
        <v>88.25</v>
      </c>
      <c r="D374" s="3176">
        <v>27.78</v>
      </c>
      <c r="F374" s="3177">
        <v>372</v>
      </c>
      <c r="G374" s="3175" t="s">
        <v>3742</v>
      </c>
      <c r="H374" s="3178">
        <v>-2060</v>
      </c>
      <c r="I374" s="3179">
        <v>8.1199999999999992</v>
      </c>
      <c r="J374" s="3179">
        <v>2.56</v>
      </c>
      <c r="L374" s="3177">
        <v>372</v>
      </c>
      <c r="M374" s="3175">
        <v>-10345</v>
      </c>
      <c r="N374" s="3175" t="s">
        <v>3423</v>
      </c>
      <c r="O374" s="3176">
        <v>23.43</v>
      </c>
      <c r="P374" s="3176">
        <v>7.38</v>
      </c>
    </row>
    <row r="375" spans="1:16" ht="15" thickBot="1">
      <c r="A375" s="3174">
        <v>373</v>
      </c>
      <c r="B375" s="3175" t="s">
        <v>3802</v>
      </c>
      <c r="C375" s="3176">
        <v>112.42</v>
      </c>
      <c r="D375" s="3176">
        <v>35.39</v>
      </c>
      <c r="F375" s="3177">
        <v>373</v>
      </c>
      <c r="G375" s="3175" t="s">
        <v>3742</v>
      </c>
      <c r="H375" s="3178">
        <v>-2061</v>
      </c>
      <c r="I375" s="3179">
        <v>8.4700000000000006</v>
      </c>
      <c r="J375" s="3179">
        <v>2.67</v>
      </c>
      <c r="L375" s="3177">
        <v>373</v>
      </c>
      <c r="M375" s="3175">
        <v>-10346</v>
      </c>
      <c r="N375" s="3175" t="s">
        <v>3423</v>
      </c>
      <c r="O375" s="3176">
        <v>23.43</v>
      </c>
      <c r="P375" s="3176">
        <v>7.38</v>
      </c>
    </row>
    <row r="376" spans="1:16" ht="15" thickBot="1">
      <c r="A376" s="3174">
        <v>374</v>
      </c>
      <c r="B376" s="3175" t="s">
        <v>3803</v>
      </c>
      <c r="C376" s="3176">
        <v>88.83</v>
      </c>
      <c r="D376" s="3176">
        <v>27.97</v>
      </c>
      <c r="F376" s="3177">
        <v>374</v>
      </c>
      <c r="G376" s="3175" t="s">
        <v>3742</v>
      </c>
      <c r="H376" s="3178">
        <v>-2062</v>
      </c>
      <c r="I376" s="3179">
        <v>8.4700000000000006</v>
      </c>
      <c r="J376" s="3179">
        <v>2.67</v>
      </c>
      <c r="L376" s="3177">
        <v>374</v>
      </c>
      <c r="M376" s="3175">
        <v>-10347</v>
      </c>
      <c r="N376" s="3175" t="s">
        <v>3423</v>
      </c>
      <c r="O376" s="3176">
        <v>23.43</v>
      </c>
      <c r="P376" s="3176">
        <v>7.38</v>
      </c>
    </row>
    <row r="377" spans="1:16" ht="15" thickBot="1">
      <c r="A377" s="3174">
        <v>375</v>
      </c>
      <c r="B377" s="3175" t="s">
        <v>3804</v>
      </c>
      <c r="C377" s="3176">
        <v>88.83</v>
      </c>
      <c r="D377" s="3176">
        <v>27.97</v>
      </c>
      <c r="F377" s="3177">
        <v>375</v>
      </c>
      <c r="G377" s="3175" t="s">
        <v>3742</v>
      </c>
      <c r="H377" s="3178">
        <v>-2063</v>
      </c>
      <c r="I377" s="3179">
        <v>8.1199999999999992</v>
      </c>
      <c r="J377" s="3179">
        <v>2.56</v>
      </c>
      <c r="L377" s="3177">
        <v>375</v>
      </c>
      <c r="M377" s="3175">
        <v>-10348</v>
      </c>
      <c r="N377" s="3175" t="s">
        <v>3423</v>
      </c>
      <c r="O377" s="3176">
        <v>23.43</v>
      </c>
      <c r="P377" s="3176">
        <v>7.38</v>
      </c>
    </row>
    <row r="378" spans="1:16" ht="15" thickBot="1">
      <c r="A378" s="3174">
        <v>376</v>
      </c>
      <c r="B378" s="3175" t="s">
        <v>3805</v>
      </c>
      <c r="C378" s="3176">
        <v>89.12</v>
      </c>
      <c r="D378" s="3176">
        <v>28.06</v>
      </c>
      <c r="F378" s="3177">
        <v>376</v>
      </c>
      <c r="G378" s="3175" t="s">
        <v>3742</v>
      </c>
      <c r="H378" s="3178">
        <v>-2064</v>
      </c>
      <c r="I378" s="3179">
        <v>8.1199999999999992</v>
      </c>
      <c r="J378" s="3179">
        <v>2.56</v>
      </c>
      <c r="L378" s="3177">
        <v>376</v>
      </c>
      <c r="M378" s="3175">
        <v>-10349</v>
      </c>
      <c r="N378" s="3175" t="s">
        <v>3423</v>
      </c>
      <c r="O378" s="3176">
        <v>23.43</v>
      </c>
      <c r="P378" s="3176">
        <v>7.38</v>
      </c>
    </row>
    <row r="379" spans="1:16" ht="15" thickBot="1">
      <c r="A379" s="3174">
        <v>377</v>
      </c>
      <c r="B379" s="3175" t="s">
        <v>3806</v>
      </c>
      <c r="C379" s="3176">
        <v>112.42</v>
      </c>
      <c r="D379" s="3176">
        <v>35.39</v>
      </c>
      <c r="F379" s="3177">
        <v>377</v>
      </c>
      <c r="G379" s="3175" t="s">
        <v>3742</v>
      </c>
      <c r="H379" s="3178">
        <v>-2065</v>
      </c>
      <c r="I379" s="3179">
        <v>8.3699999999999992</v>
      </c>
      <c r="J379" s="3179">
        <v>2.64</v>
      </c>
      <c r="L379" s="3177">
        <v>377</v>
      </c>
      <c r="M379" s="3175">
        <v>-10350</v>
      </c>
      <c r="N379" s="3175" t="s">
        <v>3423</v>
      </c>
      <c r="O379" s="3176">
        <v>23.43</v>
      </c>
      <c r="P379" s="3176">
        <v>7.38</v>
      </c>
    </row>
    <row r="380" spans="1:16" ht="15" thickBot="1">
      <c r="A380" s="3174">
        <v>378</v>
      </c>
      <c r="B380" s="3175" t="s">
        <v>3807</v>
      </c>
      <c r="C380" s="3176">
        <v>88.83</v>
      </c>
      <c r="D380" s="3176">
        <v>27.97</v>
      </c>
      <c r="F380" s="3177">
        <v>378</v>
      </c>
      <c r="G380" s="3175" t="s">
        <v>3742</v>
      </c>
      <c r="H380" s="3178">
        <v>-2066</v>
      </c>
      <c r="I380" s="3179">
        <v>9.7799999999999994</v>
      </c>
      <c r="J380" s="3179">
        <v>3.08</v>
      </c>
      <c r="L380" s="3177">
        <v>378</v>
      </c>
      <c r="M380" s="3175">
        <v>-10351</v>
      </c>
      <c r="N380" s="3175" t="s">
        <v>3423</v>
      </c>
      <c r="O380" s="3176">
        <v>23.43</v>
      </c>
      <c r="P380" s="3176">
        <v>7.38</v>
      </c>
    </row>
    <row r="381" spans="1:16" ht="15" thickBot="1">
      <c r="A381" s="3174">
        <v>379</v>
      </c>
      <c r="B381" s="3175" t="s">
        <v>3808</v>
      </c>
      <c r="C381" s="3176">
        <v>88.83</v>
      </c>
      <c r="D381" s="3176">
        <v>27.97</v>
      </c>
      <c r="F381" s="3177">
        <v>379</v>
      </c>
      <c r="G381" s="3175" t="s">
        <v>3742</v>
      </c>
      <c r="H381" s="3178">
        <v>-2067</v>
      </c>
      <c r="I381" s="3179">
        <v>9.94</v>
      </c>
      <c r="J381" s="3179">
        <v>3.13</v>
      </c>
      <c r="L381" s="3177">
        <v>379</v>
      </c>
      <c r="M381" s="3175">
        <v>-10352</v>
      </c>
      <c r="N381" s="3175" t="s">
        <v>3423</v>
      </c>
      <c r="O381" s="3176">
        <v>23.43</v>
      </c>
      <c r="P381" s="3176">
        <v>7.38</v>
      </c>
    </row>
    <row r="382" spans="1:16" ht="15" thickBot="1">
      <c r="A382" s="3174">
        <v>380</v>
      </c>
      <c r="B382" s="3175" t="s">
        <v>3809</v>
      </c>
      <c r="C382" s="3176">
        <v>89.12</v>
      </c>
      <c r="D382" s="3176">
        <v>28.06</v>
      </c>
      <c r="F382" s="3177">
        <v>380</v>
      </c>
      <c r="G382" s="3175" t="s">
        <v>3742</v>
      </c>
      <c r="H382" s="3178">
        <v>-2068</v>
      </c>
      <c r="I382" s="3179">
        <v>9.7799999999999994</v>
      </c>
      <c r="J382" s="3179">
        <v>3.08</v>
      </c>
      <c r="L382" s="3177">
        <v>380</v>
      </c>
      <c r="M382" s="3175">
        <v>-10353</v>
      </c>
      <c r="N382" s="3175" t="s">
        <v>3423</v>
      </c>
      <c r="O382" s="3176">
        <v>23.43</v>
      </c>
      <c r="P382" s="3176">
        <v>7.38</v>
      </c>
    </row>
    <row r="383" spans="1:16" ht="15" thickBot="1">
      <c r="A383" s="3174">
        <v>381</v>
      </c>
      <c r="B383" s="3175" t="s">
        <v>3810</v>
      </c>
      <c r="C383" s="3176">
        <v>112.42</v>
      </c>
      <c r="D383" s="3176">
        <v>35.39</v>
      </c>
      <c r="F383" s="3177">
        <v>381</v>
      </c>
      <c r="G383" s="3175" t="s">
        <v>3742</v>
      </c>
      <c r="H383" s="3178">
        <v>-2069</v>
      </c>
      <c r="I383" s="3179">
        <v>10.93</v>
      </c>
      <c r="J383" s="3179">
        <v>3.44</v>
      </c>
      <c r="L383" s="3177">
        <v>381</v>
      </c>
      <c r="M383" s="3175">
        <v>-10354</v>
      </c>
      <c r="N383" s="3175" t="s">
        <v>3423</v>
      </c>
      <c r="O383" s="3176">
        <v>23.43</v>
      </c>
      <c r="P383" s="3176">
        <v>7.38</v>
      </c>
    </row>
    <row r="384" spans="1:16" ht="15" thickBot="1">
      <c r="A384" s="3174">
        <v>382</v>
      </c>
      <c r="B384" s="3175" t="s">
        <v>3811</v>
      </c>
      <c r="C384" s="3176">
        <v>88.83</v>
      </c>
      <c r="D384" s="3176">
        <v>27.97</v>
      </c>
      <c r="F384" s="3177">
        <v>382</v>
      </c>
      <c r="G384" s="3175" t="s">
        <v>3742</v>
      </c>
      <c r="H384" s="3178">
        <v>-2070</v>
      </c>
      <c r="I384" s="3179">
        <v>9.27</v>
      </c>
      <c r="J384" s="3179">
        <v>2.92</v>
      </c>
      <c r="L384" s="3177">
        <v>382</v>
      </c>
      <c r="M384" s="3175">
        <v>-10355</v>
      </c>
      <c r="N384" s="3175" t="s">
        <v>3423</v>
      </c>
      <c r="O384" s="3176">
        <v>23.43</v>
      </c>
      <c r="P384" s="3176">
        <v>7.38</v>
      </c>
    </row>
    <row r="385" spans="1:16" ht="15" thickBot="1">
      <c r="A385" s="3174">
        <v>383</v>
      </c>
      <c r="B385" s="3175" t="s">
        <v>3812</v>
      </c>
      <c r="C385" s="3176">
        <v>88.83</v>
      </c>
      <c r="D385" s="3176">
        <v>27.97</v>
      </c>
      <c r="F385" s="3177">
        <v>383</v>
      </c>
      <c r="G385" s="3175" t="s">
        <v>3742</v>
      </c>
      <c r="H385" s="3178">
        <v>-2071</v>
      </c>
      <c r="I385" s="3179">
        <v>8.75</v>
      </c>
      <c r="J385" s="3179">
        <v>2.75</v>
      </c>
      <c r="L385" s="3177">
        <v>383</v>
      </c>
      <c r="M385" s="3175">
        <v>-10356</v>
      </c>
      <c r="N385" s="3175" t="s">
        <v>3423</v>
      </c>
      <c r="O385" s="3176">
        <v>23.43</v>
      </c>
      <c r="P385" s="3176">
        <v>7.38</v>
      </c>
    </row>
    <row r="386" spans="1:16" ht="15" thickBot="1">
      <c r="A386" s="3174">
        <v>384</v>
      </c>
      <c r="B386" s="3175" t="s">
        <v>3813</v>
      </c>
      <c r="C386" s="3176">
        <v>89.12</v>
      </c>
      <c r="D386" s="3176">
        <v>28.06</v>
      </c>
      <c r="F386" s="3177">
        <v>384</v>
      </c>
      <c r="G386" s="3175" t="s">
        <v>3742</v>
      </c>
      <c r="H386" s="3178">
        <v>-2072</v>
      </c>
      <c r="I386" s="3179">
        <v>9.02</v>
      </c>
      <c r="J386" s="3179">
        <v>2.84</v>
      </c>
      <c r="L386" s="3177">
        <v>384</v>
      </c>
      <c r="M386" s="3175">
        <v>-10357</v>
      </c>
      <c r="N386" s="3175" t="s">
        <v>3423</v>
      </c>
      <c r="O386" s="3176">
        <v>23.43</v>
      </c>
      <c r="P386" s="3176">
        <v>7.38</v>
      </c>
    </row>
    <row r="387" spans="1:16" ht="15" thickBot="1">
      <c r="A387" s="3174">
        <v>385</v>
      </c>
      <c r="B387" s="3175" t="s">
        <v>3814</v>
      </c>
      <c r="C387" s="3176">
        <v>112.42</v>
      </c>
      <c r="D387" s="3176">
        <v>35.39</v>
      </c>
      <c r="F387" s="3177">
        <v>385</v>
      </c>
      <c r="G387" s="3175" t="s">
        <v>3742</v>
      </c>
      <c r="H387" s="3178">
        <v>-1001</v>
      </c>
      <c r="I387" s="3179">
        <v>9.52</v>
      </c>
      <c r="J387" s="3179">
        <v>3</v>
      </c>
      <c r="L387" s="3177">
        <v>385</v>
      </c>
      <c r="M387" s="3175">
        <v>-10358</v>
      </c>
      <c r="N387" s="3175" t="s">
        <v>3423</v>
      </c>
      <c r="O387" s="3176">
        <v>23.43</v>
      </c>
      <c r="P387" s="3176">
        <v>7.38</v>
      </c>
    </row>
    <row r="388" spans="1:16" ht="15" thickBot="1">
      <c r="A388" s="3174">
        <v>386</v>
      </c>
      <c r="B388" s="3175" t="s">
        <v>3815</v>
      </c>
      <c r="C388" s="3176">
        <v>88.83</v>
      </c>
      <c r="D388" s="3176">
        <v>27.97</v>
      </c>
      <c r="F388" s="3177">
        <v>386</v>
      </c>
      <c r="G388" s="3175" t="s">
        <v>3742</v>
      </c>
      <c r="H388" s="3178">
        <v>-1002</v>
      </c>
      <c r="I388" s="3179">
        <v>9.67</v>
      </c>
      <c r="J388" s="3179">
        <v>3.04</v>
      </c>
      <c r="L388" s="3177">
        <v>386</v>
      </c>
      <c r="M388" s="3175">
        <v>-10359</v>
      </c>
      <c r="N388" s="3175" t="s">
        <v>3423</v>
      </c>
      <c r="O388" s="3176">
        <v>23.43</v>
      </c>
      <c r="P388" s="3176">
        <v>7.38</v>
      </c>
    </row>
    <row r="389" spans="1:16" ht="15" thickBot="1">
      <c r="A389" s="3174">
        <v>387</v>
      </c>
      <c r="B389" s="3175" t="s">
        <v>3816</v>
      </c>
      <c r="C389" s="3176">
        <v>88.83</v>
      </c>
      <c r="D389" s="3176">
        <v>27.97</v>
      </c>
      <c r="F389" s="3177">
        <v>387</v>
      </c>
      <c r="G389" s="3175" t="s">
        <v>3742</v>
      </c>
      <c r="H389" s="3178">
        <v>-1003</v>
      </c>
      <c r="I389" s="3179">
        <v>12.34</v>
      </c>
      <c r="J389" s="3179">
        <v>3.89</v>
      </c>
      <c r="L389" s="3177">
        <v>387</v>
      </c>
      <c r="M389" s="3175">
        <v>-10360</v>
      </c>
      <c r="N389" s="3175" t="s">
        <v>3423</v>
      </c>
      <c r="O389" s="3176">
        <v>23.43</v>
      </c>
      <c r="P389" s="3176">
        <v>7.38</v>
      </c>
    </row>
    <row r="390" spans="1:16" ht="15" thickBot="1">
      <c r="A390" s="3174">
        <v>388</v>
      </c>
      <c r="B390" s="3175" t="s">
        <v>3817</v>
      </c>
      <c r="C390" s="3176">
        <v>89.12</v>
      </c>
      <c r="D390" s="3176">
        <v>28.06</v>
      </c>
      <c r="F390" s="3177">
        <v>388</v>
      </c>
      <c r="G390" s="3175" t="s">
        <v>3742</v>
      </c>
      <c r="H390" s="3178">
        <v>-1004</v>
      </c>
      <c r="I390" s="3179">
        <v>16.73</v>
      </c>
      <c r="J390" s="3179">
        <v>5.27</v>
      </c>
      <c r="L390" s="3177">
        <v>388</v>
      </c>
      <c r="M390" s="3175">
        <v>-10361</v>
      </c>
      <c r="N390" s="3175" t="s">
        <v>3423</v>
      </c>
      <c r="O390" s="3176">
        <v>23.43</v>
      </c>
      <c r="P390" s="3176">
        <v>7.38</v>
      </c>
    </row>
    <row r="391" spans="1:16" ht="15" thickBot="1">
      <c r="A391" s="3174">
        <v>389</v>
      </c>
      <c r="B391" s="3175" t="s">
        <v>3818</v>
      </c>
      <c r="C391" s="3176">
        <v>112.42</v>
      </c>
      <c r="D391" s="3176">
        <v>35.39</v>
      </c>
      <c r="F391" s="3177">
        <v>389</v>
      </c>
      <c r="G391" s="3175" t="s">
        <v>3742</v>
      </c>
      <c r="H391" s="3178">
        <v>-1005</v>
      </c>
      <c r="I391" s="3179">
        <v>7.9</v>
      </c>
      <c r="J391" s="3179">
        <v>2.4900000000000002</v>
      </c>
      <c r="L391" s="3177">
        <v>389</v>
      </c>
      <c r="M391" s="3175">
        <v>-10362</v>
      </c>
      <c r="N391" s="3175" t="s">
        <v>3423</v>
      </c>
      <c r="O391" s="3176">
        <v>23.43</v>
      </c>
      <c r="P391" s="3176">
        <v>7.38</v>
      </c>
    </row>
    <row r="392" spans="1:16" ht="15" thickBot="1">
      <c r="A392" s="3174">
        <v>390</v>
      </c>
      <c r="B392" s="3175" t="s">
        <v>3819</v>
      </c>
      <c r="C392" s="3176">
        <v>88.83</v>
      </c>
      <c r="D392" s="3176">
        <v>27.97</v>
      </c>
      <c r="F392" s="3177">
        <v>390</v>
      </c>
      <c r="G392" s="3175" t="s">
        <v>3742</v>
      </c>
      <c r="H392" s="3178">
        <v>-1006</v>
      </c>
      <c r="I392" s="3179">
        <v>7.69</v>
      </c>
      <c r="J392" s="3179">
        <v>2.42</v>
      </c>
      <c r="L392" s="3177">
        <v>390</v>
      </c>
      <c r="M392" s="3175">
        <v>-10363</v>
      </c>
      <c r="N392" s="3175" t="s">
        <v>3423</v>
      </c>
      <c r="O392" s="3176">
        <v>23.43</v>
      </c>
      <c r="P392" s="3176">
        <v>7.38</v>
      </c>
    </row>
    <row r="393" spans="1:16" ht="15" thickBot="1">
      <c r="A393" s="3174">
        <v>391</v>
      </c>
      <c r="B393" s="3175" t="s">
        <v>3820</v>
      </c>
      <c r="C393" s="3176">
        <v>88.83</v>
      </c>
      <c r="D393" s="3176">
        <v>27.97</v>
      </c>
      <c r="F393" s="3177">
        <v>391</v>
      </c>
      <c r="G393" s="3175" t="s">
        <v>3742</v>
      </c>
      <c r="H393" s="3178">
        <v>-1007</v>
      </c>
      <c r="I393" s="3179">
        <v>10.3</v>
      </c>
      <c r="J393" s="3179">
        <v>3.24</v>
      </c>
      <c r="L393" s="3177">
        <v>391</v>
      </c>
      <c r="M393" s="3175">
        <v>-10364</v>
      </c>
      <c r="N393" s="3175" t="s">
        <v>3423</v>
      </c>
      <c r="O393" s="3176">
        <v>23.43</v>
      </c>
      <c r="P393" s="3176">
        <v>7.38</v>
      </c>
    </row>
    <row r="394" spans="1:16" ht="15" thickBot="1">
      <c r="A394" s="3174">
        <v>392</v>
      </c>
      <c r="B394" s="3175" t="s">
        <v>3821</v>
      </c>
      <c r="C394" s="3176">
        <v>89.12</v>
      </c>
      <c r="D394" s="3176">
        <v>28.06</v>
      </c>
      <c r="F394" s="3177">
        <v>392</v>
      </c>
      <c r="G394" s="3175" t="s">
        <v>3742</v>
      </c>
      <c r="H394" s="3178">
        <v>-1008</v>
      </c>
      <c r="I394" s="3179">
        <v>12.07</v>
      </c>
      <c r="J394" s="3179">
        <v>3.8</v>
      </c>
      <c r="L394" s="3177">
        <v>392</v>
      </c>
      <c r="M394" s="3175">
        <v>-10365</v>
      </c>
      <c r="N394" s="3175" t="s">
        <v>3423</v>
      </c>
      <c r="O394" s="3176">
        <v>23.43</v>
      </c>
      <c r="P394" s="3176">
        <v>7.38</v>
      </c>
    </row>
    <row r="395" spans="1:16" ht="15" thickBot="1">
      <c r="A395" s="3174">
        <v>393</v>
      </c>
      <c r="B395" s="3175" t="s">
        <v>3822</v>
      </c>
      <c r="C395" s="3176">
        <v>112.42</v>
      </c>
      <c r="D395" s="3176">
        <v>35.39</v>
      </c>
      <c r="F395" s="3177">
        <v>393</v>
      </c>
      <c r="G395" s="3175" t="s">
        <v>3742</v>
      </c>
      <c r="H395" s="3178">
        <v>-1009</v>
      </c>
      <c r="I395" s="3179">
        <v>11.73</v>
      </c>
      <c r="J395" s="3179">
        <v>3.69</v>
      </c>
      <c r="L395" s="3177">
        <v>393</v>
      </c>
      <c r="M395" s="3175">
        <v>-10366</v>
      </c>
      <c r="N395" s="3175" t="s">
        <v>3423</v>
      </c>
      <c r="O395" s="3176">
        <v>23.43</v>
      </c>
      <c r="P395" s="3176">
        <v>7.38</v>
      </c>
    </row>
    <row r="396" spans="1:16" ht="15" thickBot="1">
      <c r="A396" s="3174">
        <v>394</v>
      </c>
      <c r="B396" s="3175" t="s">
        <v>3823</v>
      </c>
      <c r="C396" s="3176">
        <v>88.83</v>
      </c>
      <c r="D396" s="3176">
        <v>27.97</v>
      </c>
      <c r="F396" s="3177">
        <v>394</v>
      </c>
      <c r="G396" s="3175" t="s">
        <v>3742</v>
      </c>
      <c r="H396" s="3178">
        <v>-1010</v>
      </c>
      <c r="I396" s="3179">
        <v>11.73</v>
      </c>
      <c r="J396" s="3179">
        <v>3.69</v>
      </c>
      <c r="L396" s="3177">
        <v>394</v>
      </c>
      <c r="M396" s="3175">
        <v>-10367</v>
      </c>
      <c r="N396" s="3175" t="s">
        <v>3423</v>
      </c>
      <c r="O396" s="3176">
        <v>23.43</v>
      </c>
      <c r="P396" s="3176">
        <v>7.38</v>
      </c>
    </row>
    <row r="397" spans="1:16" ht="15" thickBot="1">
      <c r="A397" s="3174">
        <v>395</v>
      </c>
      <c r="B397" s="3175" t="s">
        <v>3824</v>
      </c>
      <c r="C397" s="3176">
        <v>88.83</v>
      </c>
      <c r="D397" s="3176">
        <v>27.97</v>
      </c>
      <c r="F397" s="3177">
        <v>395</v>
      </c>
      <c r="G397" s="3175" t="s">
        <v>3742</v>
      </c>
      <c r="H397" s="3178">
        <v>-1011</v>
      </c>
      <c r="I397" s="3179">
        <v>9.3800000000000008</v>
      </c>
      <c r="J397" s="3179">
        <v>2.95</v>
      </c>
      <c r="L397" s="3177">
        <v>395</v>
      </c>
      <c r="M397" s="3175">
        <v>-10368</v>
      </c>
      <c r="N397" s="3175" t="s">
        <v>3423</v>
      </c>
      <c r="O397" s="3176">
        <v>23.43</v>
      </c>
      <c r="P397" s="3176">
        <v>7.38</v>
      </c>
    </row>
    <row r="398" spans="1:16" ht="15" thickBot="1">
      <c r="A398" s="3174">
        <v>396</v>
      </c>
      <c r="B398" s="3175" t="s">
        <v>3825</v>
      </c>
      <c r="C398" s="3176">
        <v>89.12</v>
      </c>
      <c r="D398" s="3176">
        <v>28.06</v>
      </c>
      <c r="F398" s="3177">
        <v>396</v>
      </c>
      <c r="G398" s="3175" t="s">
        <v>3742</v>
      </c>
      <c r="H398" s="3178">
        <v>-1012</v>
      </c>
      <c r="I398" s="3179">
        <v>9.3800000000000008</v>
      </c>
      <c r="J398" s="3179">
        <v>2.95</v>
      </c>
      <c r="L398" s="3177">
        <v>396</v>
      </c>
      <c r="M398" s="3175">
        <v>-10369</v>
      </c>
      <c r="N398" s="3175" t="s">
        <v>3423</v>
      </c>
      <c r="O398" s="3176">
        <v>23.43</v>
      </c>
      <c r="P398" s="3176">
        <v>7.38</v>
      </c>
    </row>
    <row r="399" spans="1:16" ht="15" thickBot="1">
      <c r="A399" s="3174">
        <v>397</v>
      </c>
      <c r="B399" s="3175" t="s">
        <v>3826</v>
      </c>
      <c r="C399" s="3176">
        <v>112.42</v>
      </c>
      <c r="D399" s="3176">
        <v>35.39</v>
      </c>
      <c r="F399" s="3177">
        <v>397</v>
      </c>
      <c r="G399" s="3175" t="s">
        <v>3742</v>
      </c>
      <c r="H399" s="3178">
        <v>-1013</v>
      </c>
      <c r="I399" s="3179">
        <v>11.73</v>
      </c>
      <c r="J399" s="3179">
        <v>3.69</v>
      </c>
      <c r="L399" s="3177">
        <v>397</v>
      </c>
      <c r="M399" s="3175">
        <v>-10370</v>
      </c>
      <c r="N399" s="3175" t="s">
        <v>3423</v>
      </c>
      <c r="O399" s="3176">
        <v>23.43</v>
      </c>
      <c r="P399" s="3176">
        <v>7.38</v>
      </c>
    </row>
    <row r="400" spans="1:16" ht="15" thickBot="1">
      <c r="A400" s="3174">
        <v>398</v>
      </c>
      <c r="B400" s="3175" t="s">
        <v>3827</v>
      </c>
      <c r="C400" s="3176">
        <v>88.83</v>
      </c>
      <c r="D400" s="3176">
        <v>27.97</v>
      </c>
      <c r="F400" s="3177">
        <v>398</v>
      </c>
      <c r="G400" s="3175" t="s">
        <v>3742</v>
      </c>
      <c r="H400" s="3178">
        <v>-1014</v>
      </c>
      <c r="I400" s="3179">
        <v>11.73</v>
      </c>
      <c r="J400" s="3179">
        <v>3.69</v>
      </c>
      <c r="L400" s="3177">
        <v>398</v>
      </c>
      <c r="M400" s="3175">
        <v>-10371</v>
      </c>
      <c r="N400" s="3175" t="s">
        <v>3423</v>
      </c>
      <c r="O400" s="3176">
        <v>23.43</v>
      </c>
      <c r="P400" s="3176">
        <v>7.38</v>
      </c>
    </row>
    <row r="401" spans="1:16" ht="15" thickBot="1">
      <c r="A401" s="3174">
        <v>399</v>
      </c>
      <c r="B401" s="3175" t="s">
        <v>3828</v>
      </c>
      <c r="C401" s="3176">
        <v>88.83</v>
      </c>
      <c r="D401" s="3176">
        <v>27.97</v>
      </c>
      <c r="F401" s="3177">
        <v>399</v>
      </c>
      <c r="G401" s="3175" t="s">
        <v>3742</v>
      </c>
      <c r="H401" s="3178">
        <v>-1015</v>
      </c>
      <c r="I401" s="3179">
        <v>10.79</v>
      </c>
      <c r="J401" s="3179">
        <v>3.4</v>
      </c>
      <c r="L401" s="3177">
        <v>399</v>
      </c>
      <c r="M401" s="3175">
        <v>-10372</v>
      </c>
      <c r="N401" s="3175" t="s">
        <v>3423</v>
      </c>
      <c r="O401" s="3176">
        <v>23.43</v>
      </c>
      <c r="P401" s="3176">
        <v>7.38</v>
      </c>
    </row>
    <row r="402" spans="1:16" ht="15" thickBot="1">
      <c r="A402" s="3174">
        <v>400</v>
      </c>
      <c r="B402" s="3175" t="s">
        <v>3829</v>
      </c>
      <c r="C402" s="3176">
        <v>89.12</v>
      </c>
      <c r="D402" s="3176">
        <v>28.06</v>
      </c>
      <c r="F402" s="3177">
        <v>400</v>
      </c>
      <c r="G402" s="3175" t="s">
        <v>3742</v>
      </c>
      <c r="H402" s="3178">
        <v>-1016</v>
      </c>
      <c r="I402" s="3179">
        <v>9.52</v>
      </c>
      <c r="J402" s="3179">
        <v>3</v>
      </c>
      <c r="L402" s="3177">
        <v>400</v>
      </c>
      <c r="M402" s="3175">
        <v>-10373</v>
      </c>
      <c r="N402" s="3175" t="s">
        <v>3423</v>
      </c>
      <c r="O402" s="3176">
        <v>23.43</v>
      </c>
      <c r="P402" s="3176">
        <v>7.38</v>
      </c>
    </row>
    <row r="403" spans="1:16" ht="15" thickBot="1">
      <c r="A403" s="3174">
        <v>401</v>
      </c>
      <c r="B403" s="3175" t="s">
        <v>3830</v>
      </c>
      <c r="C403" s="3176">
        <v>112.42</v>
      </c>
      <c r="D403" s="3176">
        <v>35.39</v>
      </c>
      <c r="F403" s="3177">
        <v>401</v>
      </c>
      <c r="G403" s="3175" t="s">
        <v>3742</v>
      </c>
      <c r="H403" s="3178">
        <v>-1017</v>
      </c>
      <c r="I403" s="3179">
        <v>7.25</v>
      </c>
      <c r="J403" s="3179">
        <v>2.2799999999999998</v>
      </c>
      <c r="L403" s="3177">
        <v>401</v>
      </c>
      <c r="M403" s="3175">
        <v>-10374</v>
      </c>
      <c r="N403" s="3175" t="s">
        <v>3423</v>
      </c>
      <c r="O403" s="3176">
        <v>23.43</v>
      </c>
      <c r="P403" s="3176">
        <v>7.38</v>
      </c>
    </row>
    <row r="404" spans="1:16" ht="15" thickBot="1">
      <c r="A404" s="3174">
        <v>402</v>
      </c>
      <c r="B404" s="3175" t="s">
        <v>3831</v>
      </c>
      <c r="C404" s="3176">
        <v>88.83</v>
      </c>
      <c r="D404" s="3176">
        <v>27.97</v>
      </c>
      <c r="F404" s="3177">
        <v>402</v>
      </c>
      <c r="G404" s="3175" t="s">
        <v>3742</v>
      </c>
      <c r="H404" s="3178">
        <v>-1018</v>
      </c>
      <c r="I404" s="3179">
        <v>6.52</v>
      </c>
      <c r="J404" s="3179">
        <v>2.0499999999999998</v>
      </c>
      <c r="L404" s="3177">
        <v>402</v>
      </c>
      <c r="M404" s="3175">
        <v>-10375</v>
      </c>
      <c r="N404" s="3175" t="s">
        <v>3423</v>
      </c>
      <c r="O404" s="3176">
        <v>23.43</v>
      </c>
      <c r="P404" s="3176">
        <v>7.38</v>
      </c>
    </row>
    <row r="405" spans="1:16" ht="15" thickBot="1">
      <c r="A405" s="3174">
        <v>403</v>
      </c>
      <c r="B405" s="3175" t="s">
        <v>3832</v>
      </c>
      <c r="C405" s="3176">
        <v>88.83</v>
      </c>
      <c r="D405" s="3176">
        <v>27.97</v>
      </c>
      <c r="F405" s="3177">
        <v>403</v>
      </c>
      <c r="G405" s="3175" t="s">
        <v>3742</v>
      </c>
      <c r="H405" s="3178">
        <v>-1019</v>
      </c>
      <c r="I405" s="3179">
        <v>12.34</v>
      </c>
      <c r="J405" s="3179">
        <v>3.89</v>
      </c>
      <c r="L405" s="3177">
        <v>403</v>
      </c>
      <c r="M405" s="3175">
        <v>-10376</v>
      </c>
      <c r="N405" s="3175" t="s">
        <v>3423</v>
      </c>
      <c r="O405" s="3176">
        <v>23.43</v>
      </c>
      <c r="P405" s="3176">
        <v>7.38</v>
      </c>
    </row>
    <row r="406" spans="1:16" ht="15" thickBot="1">
      <c r="A406" s="3174">
        <v>404</v>
      </c>
      <c r="B406" s="3175" t="s">
        <v>3833</v>
      </c>
      <c r="C406" s="3176">
        <v>89.12</v>
      </c>
      <c r="D406" s="3176">
        <v>28.06</v>
      </c>
      <c r="F406" s="3177">
        <v>404</v>
      </c>
      <c r="G406" s="3175" t="s">
        <v>3742</v>
      </c>
      <c r="H406" s="3178">
        <v>-1020</v>
      </c>
      <c r="I406" s="3179">
        <v>16.73</v>
      </c>
      <c r="J406" s="3179">
        <v>5.27</v>
      </c>
      <c r="L406" s="3177">
        <v>404</v>
      </c>
      <c r="M406" s="3175">
        <v>-10377</v>
      </c>
      <c r="N406" s="3175" t="s">
        <v>3423</v>
      </c>
      <c r="O406" s="3176">
        <v>23.43</v>
      </c>
      <c r="P406" s="3176">
        <v>7.38</v>
      </c>
    </row>
    <row r="407" spans="1:16" ht="15" thickBot="1">
      <c r="A407" s="3174">
        <v>405</v>
      </c>
      <c r="B407" s="3175" t="s">
        <v>3834</v>
      </c>
      <c r="C407" s="3176">
        <v>112.42</v>
      </c>
      <c r="D407" s="3176">
        <v>35.39</v>
      </c>
      <c r="F407" s="3177">
        <v>405</v>
      </c>
      <c r="G407" s="3175" t="s">
        <v>3742</v>
      </c>
      <c r="H407" s="3178">
        <v>-1021</v>
      </c>
      <c r="I407" s="3179">
        <v>7.9</v>
      </c>
      <c r="J407" s="3179">
        <v>2.4900000000000002</v>
      </c>
      <c r="L407" s="3177">
        <v>405</v>
      </c>
      <c r="M407" s="3175">
        <v>-10378</v>
      </c>
      <c r="N407" s="3175" t="s">
        <v>3423</v>
      </c>
      <c r="O407" s="3176">
        <v>23.43</v>
      </c>
      <c r="P407" s="3176">
        <v>7.38</v>
      </c>
    </row>
    <row r="408" spans="1:16" ht="15" thickBot="1">
      <c r="A408" s="3174">
        <v>406</v>
      </c>
      <c r="B408" s="3175" t="s">
        <v>3835</v>
      </c>
      <c r="C408" s="3176">
        <v>88.83</v>
      </c>
      <c r="D408" s="3176">
        <v>27.97</v>
      </c>
      <c r="F408" s="3177">
        <v>406</v>
      </c>
      <c r="G408" s="3175" t="s">
        <v>3742</v>
      </c>
      <c r="H408" s="3178">
        <v>-1022</v>
      </c>
      <c r="I408" s="3179">
        <v>7.69</v>
      </c>
      <c r="J408" s="3179">
        <v>2.42</v>
      </c>
      <c r="L408" s="3177">
        <v>406</v>
      </c>
      <c r="M408" s="3175">
        <v>-10379</v>
      </c>
      <c r="N408" s="3175" t="s">
        <v>3423</v>
      </c>
      <c r="O408" s="3176">
        <v>23.43</v>
      </c>
      <c r="P408" s="3176">
        <v>7.38</v>
      </c>
    </row>
    <row r="409" spans="1:16" ht="15" thickBot="1">
      <c r="A409" s="3174">
        <v>407</v>
      </c>
      <c r="B409" s="3175" t="s">
        <v>3836</v>
      </c>
      <c r="C409" s="3176">
        <v>88.83</v>
      </c>
      <c r="D409" s="3176">
        <v>27.97</v>
      </c>
      <c r="F409" s="3177">
        <v>407</v>
      </c>
      <c r="G409" s="3175" t="s">
        <v>3742</v>
      </c>
      <c r="H409" s="3178">
        <v>-1023</v>
      </c>
      <c r="I409" s="3179">
        <v>9.02</v>
      </c>
      <c r="J409" s="3179">
        <v>2.84</v>
      </c>
      <c r="L409" s="3177">
        <v>407</v>
      </c>
      <c r="M409" s="3175">
        <v>-10380</v>
      </c>
      <c r="N409" s="3175" t="s">
        <v>3423</v>
      </c>
      <c r="O409" s="3176">
        <v>23.43</v>
      </c>
      <c r="P409" s="3176">
        <v>7.38</v>
      </c>
    </row>
    <row r="410" spans="1:16" ht="15" thickBot="1">
      <c r="A410" s="3174">
        <v>408</v>
      </c>
      <c r="B410" s="3175" t="s">
        <v>3837</v>
      </c>
      <c r="C410" s="3176">
        <v>89.12</v>
      </c>
      <c r="D410" s="3176">
        <v>28.06</v>
      </c>
      <c r="F410" s="3177">
        <v>408</v>
      </c>
      <c r="G410" s="3175" t="s">
        <v>3742</v>
      </c>
      <c r="H410" s="3178">
        <v>-1024</v>
      </c>
      <c r="I410" s="3179">
        <v>8.75</v>
      </c>
      <c r="J410" s="3179">
        <v>2.75</v>
      </c>
      <c r="L410" s="3177">
        <v>408</v>
      </c>
      <c r="M410" s="3175">
        <v>-10381</v>
      </c>
      <c r="N410" s="3175" t="s">
        <v>3423</v>
      </c>
      <c r="O410" s="3176">
        <v>23.43</v>
      </c>
      <c r="P410" s="3176">
        <v>7.38</v>
      </c>
    </row>
    <row r="411" spans="1:16" ht="15" thickBot="1">
      <c r="A411" s="3174">
        <v>409</v>
      </c>
      <c r="B411" s="3175" t="s">
        <v>3838</v>
      </c>
      <c r="C411" s="3176">
        <v>112.42</v>
      </c>
      <c r="D411" s="3176">
        <v>35.39</v>
      </c>
      <c r="F411" s="3177">
        <v>409</v>
      </c>
      <c r="G411" s="3175" t="s">
        <v>3742</v>
      </c>
      <c r="H411" s="3178">
        <v>-1025</v>
      </c>
      <c r="I411" s="3179">
        <v>9.27</v>
      </c>
      <c r="J411" s="3179">
        <v>2.92</v>
      </c>
      <c r="L411" s="3177">
        <v>409</v>
      </c>
      <c r="M411" s="3175">
        <v>-10382</v>
      </c>
      <c r="N411" s="3175" t="s">
        <v>3423</v>
      </c>
      <c r="O411" s="3176">
        <v>23.43</v>
      </c>
      <c r="P411" s="3176">
        <v>7.38</v>
      </c>
    </row>
    <row r="412" spans="1:16" ht="15" thickBot="1">
      <c r="A412" s="3174">
        <v>410</v>
      </c>
      <c r="B412" s="3175" t="s">
        <v>3839</v>
      </c>
      <c r="C412" s="3176">
        <v>88.83</v>
      </c>
      <c r="D412" s="3176">
        <v>27.97</v>
      </c>
      <c r="F412" s="3177">
        <v>410</v>
      </c>
      <c r="G412" s="3175" t="s">
        <v>3742</v>
      </c>
      <c r="H412" s="3178">
        <v>-1026</v>
      </c>
      <c r="I412" s="3179">
        <v>12.05</v>
      </c>
      <c r="J412" s="3179">
        <v>3.79</v>
      </c>
      <c r="L412" s="3177">
        <v>410</v>
      </c>
      <c r="M412" s="3175">
        <v>-10383</v>
      </c>
      <c r="N412" s="3175" t="s">
        <v>3423</v>
      </c>
      <c r="O412" s="3176">
        <v>23.43</v>
      </c>
      <c r="P412" s="3176">
        <v>7.38</v>
      </c>
    </row>
    <row r="413" spans="1:16" ht="15" thickBot="1">
      <c r="A413" s="3174">
        <v>411</v>
      </c>
      <c r="B413" s="3175" t="s">
        <v>3840</v>
      </c>
      <c r="C413" s="3176">
        <v>88.83</v>
      </c>
      <c r="D413" s="3176">
        <v>27.97</v>
      </c>
      <c r="F413" s="3177">
        <v>411</v>
      </c>
      <c r="G413" s="3175" t="s">
        <v>3742</v>
      </c>
      <c r="H413" s="3178">
        <v>-1027</v>
      </c>
      <c r="I413" s="3179">
        <v>7.42</v>
      </c>
      <c r="J413" s="3179">
        <v>2.34</v>
      </c>
      <c r="L413" s="3177">
        <v>411</v>
      </c>
      <c r="M413" s="3175">
        <v>-10384</v>
      </c>
      <c r="N413" s="3175" t="s">
        <v>3423</v>
      </c>
      <c r="O413" s="3176">
        <v>23.43</v>
      </c>
      <c r="P413" s="3176">
        <v>7.38</v>
      </c>
    </row>
    <row r="414" spans="1:16" ht="15" thickBot="1">
      <c r="A414" s="3174">
        <v>412</v>
      </c>
      <c r="B414" s="3175" t="s">
        <v>3841</v>
      </c>
      <c r="C414" s="3176">
        <v>89.12</v>
      </c>
      <c r="D414" s="3176">
        <v>28.06</v>
      </c>
      <c r="F414" s="3177">
        <v>412</v>
      </c>
      <c r="G414" s="3175" t="s">
        <v>3742</v>
      </c>
      <c r="H414" s="3178">
        <v>-1028</v>
      </c>
      <c r="I414" s="3179">
        <v>7.42</v>
      </c>
      <c r="J414" s="3179">
        <v>2.34</v>
      </c>
      <c r="L414" s="3177">
        <v>412</v>
      </c>
      <c r="M414" s="3175">
        <v>-10385</v>
      </c>
      <c r="N414" s="3175" t="s">
        <v>3423</v>
      </c>
      <c r="O414" s="3176">
        <v>35.14</v>
      </c>
      <c r="P414" s="3176">
        <v>11.06</v>
      </c>
    </row>
    <row r="415" spans="1:16" ht="15" thickBot="1">
      <c r="A415" s="3174">
        <v>413</v>
      </c>
      <c r="B415" s="3175" t="s">
        <v>3842</v>
      </c>
      <c r="C415" s="3176">
        <v>112.42</v>
      </c>
      <c r="D415" s="3176">
        <v>35.39</v>
      </c>
      <c r="F415" s="3177">
        <v>413</v>
      </c>
      <c r="G415" s="3175" t="s">
        <v>3742</v>
      </c>
      <c r="H415" s="3178">
        <v>-1029</v>
      </c>
      <c r="I415" s="3179">
        <v>7.42</v>
      </c>
      <c r="J415" s="3179">
        <v>2.34</v>
      </c>
      <c r="L415" s="3177">
        <v>413</v>
      </c>
      <c r="M415" s="3175">
        <v>-10386</v>
      </c>
      <c r="N415" s="3175" t="s">
        <v>3423</v>
      </c>
      <c r="O415" s="3176">
        <v>23.43</v>
      </c>
      <c r="P415" s="3176">
        <v>7.38</v>
      </c>
    </row>
    <row r="416" spans="1:16" ht="15" thickBot="1">
      <c r="A416" s="3174">
        <v>414</v>
      </c>
      <c r="B416" s="3175" t="s">
        <v>3843</v>
      </c>
      <c r="C416" s="3176">
        <v>88.83</v>
      </c>
      <c r="D416" s="3176">
        <v>27.97</v>
      </c>
      <c r="F416" s="3177">
        <v>414</v>
      </c>
      <c r="G416" s="3175" t="s">
        <v>3742</v>
      </c>
      <c r="H416" s="3178">
        <v>-1030</v>
      </c>
      <c r="I416" s="3179">
        <v>7.42</v>
      </c>
      <c r="J416" s="3179">
        <v>2.34</v>
      </c>
      <c r="L416" s="3177">
        <v>414</v>
      </c>
      <c r="M416" s="3175">
        <v>-10387</v>
      </c>
      <c r="N416" s="3175" t="s">
        <v>3423</v>
      </c>
      <c r="O416" s="3176">
        <v>23.43</v>
      </c>
      <c r="P416" s="3176">
        <v>7.38</v>
      </c>
    </row>
    <row r="417" spans="1:16" ht="15" thickBot="1">
      <c r="A417" s="3174">
        <v>415</v>
      </c>
      <c r="B417" s="3175" t="s">
        <v>3844</v>
      </c>
      <c r="C417" s="3176">
        <v>88.83</v>
      </c>
      <c r="D417" s="3176">
        <v>27.97</v>
      </c>
      <c r="F417" s="3177">
        <v>415</v>
      </c>
      <c r="G417" s="3175" t="s">
        <v>3742</v>
      </c>
      <c r="H417" s="3178">
        <v>-1031</v>
      </c>
      <c r="I417" s="3179">
        <v>10.66</v>
      </c>
      <c r="J417" s="3179">
        <v>3.36</v>
      </c>
      <c r="L417" s="3177">
        <v>415</v>
      </c>
      <c r="M417" s="3175">
        <v>-10388</v>
      </c>
      <c r="N417" s="3175" t="s">
        <v>3423</v>
      </c>
      <c r="O417" s="3176">
        <v>23.43</v>
      </c>
      <c r="P417" s="3176">
        <v>7.38</v>
      </c>
    </row>
    <row r="418" spans="1:16" ht="15" thickBot="1">
      <c r="A418" s="3174">
        <v>416</v>
      </c>
      <c r="B418" s="3175" t="s">
        <v>3845</v>
      </c>
      <c r="C418" s="3176">
        <v>89.12</v>
      </c>
      <c r="D418" s="3176">
        <v>28.06</v>
      </c>
      <c r="F418" s="3177">
        <v>416</v>
      </c>
      <c r="G418" s="3175" t="s">
        <v>3742</v>
      </c>
      <c r="H418" s="3178">
        <v>-1032</v>
      </c>
      <c r="I418" s="3179">
        <v>10.47</v>
      </c>
      <c r="J418" s="3179">
        <v>3.3</v>
      </c>
      <c r="L418" s="3177">
        <v>416</v>
      </c>
      <c r="M418" s="3175">
        <v>-10389</v>
      </c>
      <c r="N418" s="3175" t="s">
        <v>3423</v>
      </c>
      <c r="O418" s="3176">
        <v>23.43</v>
      </c>
      <c r="P418" s="3176">
        <v>7.38</v>
      </c>
    </row>
    <row r="419" spans="1:16" ht="15" thickBot="1">
      <c r="A419" s="3174">
        <v>417</v>
      </c>
      <c r="B419" s="3175" t="s">
        <v>3846</v>
      </c>
      <c r="C419" s="3176">
        <v>112.42</v>
      </c>
      <c r="D419" s="3176">
        <v>35.39</v>
      </c>
      <c r="F419" s="3177">
        <v>417</v>
      </c>
      <c r="G419" s="3175" t="s">
        <v>3742</v>
      </c>
      <c r="H419" s="3178">
        <v>-1033</v>
      </c>
      <c r="I419" s="3179">
        <v>9.44</v>
      </c>
      <c r="J419" s="3179">
        <v>2.97</v>
      </c>
      <c r="L419" s="3177">
        <v>417</v>
      </c>
      <c r="M419" s="3175">
        <v>-10390</v>
      </c>
      <c r="N419" s="3175" t="s">
        <v>3423</v>
      </c>
      <c r="O419" s="3176">
        <v>23.43</v>
      </c>
      <c r="P419" s="3176">
        <v>7.38</v>
      </c>
    </row>
    <row r="420" spans="1:16" ht="15" thickBot="1">
      <c r="A420" s="3174">
        <v>418</v>
      </c>
      <c r="B420" s="3175" t="s">
        <v>3847</v>
      </c>
      <c r="C420" s="3176">
        <v>88.83</v>
      </c>
      <c r="D420" s="3176">
        <v>27.97</v>
      </c>
      <c r="F420" s="3177">
        <v>418</v>
      </c>
      <c r="G420" s="3175" t="s">
        <v>3742</v>
      </c>
      <c r="H420" s="3178">
        <v>-1034</v>
      </c>
      <c r="I420" s="3179">
        <v>8.52</v>
      </c>
      <c r="J420" s="3179">
        <v>2.68</v>
      </c>
      <c r="L420" s="3177">
        <v>418</v>
      </c>
      <c r="M420" s="3175">
        <v>-10391</v>
      </c>
      <c r="N420" s="3175" t="s">
        <v>3423</v>
      </c>
      <c r="O420" s="3176">
        <v>23.43</v>
      </c>
      <c r="P420" s="3176">
        <v>7.38</v>
      </c>
    </row>
    <row r="421" spans="1:16" ht="15" thickBot="1">
      <c r="A421" s="3174">
        <v>419</v>
      </c>
      <c r="B421" s="3175" t="s">
        <v>3848</v>
      </c>
      <c r="C421" s="3176">
        <v>88.83</v>
      </c>
      <c r="D421" s="3176">
        <v>27.97</v>
      </c>
      <c r="F421" s="3177">
        <v>419</v>
      </c>
      <c r="G421" s="3175" t="s">
        <v>3742</v>
      </c>
      <c r="H421" s="3178">
        <v>-1035</v>
      </c>
      <c r="I421" s="3179">
        <v>9.57</v>
      </c>
      <c r="J421" s="3179">
        <v>3.01</v>
      </c>
      <c r="L421" s="3177">
        <v>419</v>
      </c>
      <c r="M421" s="3175">
        <v>-10392</v>
      </c>
      <c r="N421" s="3175" t="s">
        <v>3423</v>
      </c>
      <c r="O421" s="3176">
        <v>23.43</v>
      </c>
      <c r="P421" s="3176">
        <v>7.38</v>
      </c>
    </row>
    <row r="422" spans="1:16" ht="15" thickBot="1">
      <c r="A422" s="3174">
        <v>420</v>
      </c>
      <c r="B422" s="3175" t="s">
        <v>3849</v>
      </c>
      <c r="C422" s="3176">
        <v>89.12</v>
      </c>
      <c r="D422" s="3176">
        <v>28.06</v>
      </c>
      <c r="F422" s="3177">
        <v>420</v>
      </c>
      <c r="G422" s="3175" t="s">
        <v>3742</v>
      </c>
      <c r="H422" s="3178">
        <v>-1036</v>
      </c>
      <c r="I422" s="3179">
        <v>13.14</v>
      </c>
      <c r="J422" s="3179">
        <v>4.1399999999999997</v>
      </c>
      <c r="L422" s="3177">
        <v>420</v>
      </c>
      <c r="M422" s="3175">
        <v>-10393</v>
      </c>
      <c r="N422" s="3175" t="s">
        <v>3423</v>
      </c>
      <c r="O422" s="3176">
        <v>23.43</v>
      </c>
      <c r="P422" s="3176">
        <v>7.38</v>
      </c>
    </row>
    <row r="423" spans="1:16" ht="15" thickBot="1">
      <c r="A423" s="3174">
        <v>421</v>
      </c>
      <c r="B423" s="3175" t="s">
        <v>3850</v>
      </c>
      <c r="C423" s="3176">
        <v>112.42</v>
      </c>
      <c r="D423" s="3176">
        <v>35.39</v>
      </c>
      <c r="F423" s="3177">
        <v>421</v>
      </c>
      <c r="G423" s="3175" t="s">
        <v>3742</v>
      </c>
      <c r="H423" s="3178">
        <v>-1037</v>
      </c>
      <c r="I423" s="3179">
        <v>13.14</v>
      </c>
      <c r="J423" s="3179">
        <v>4.1399999999999997</v>
      </c>
      <c r="L423" s="3177">
        <v>421</v>
      </c>
      <c r="M423" s="3175">
        <v>-10394</v>
      </c>
      <c r="N423" s="3175" t="s">
        <v>3423</v>
      </c>
      <c r="O423" s="3176">
        <v>23.43</v>
      </c>
      <c r="P423" s="3176">
        <v>7.38</v>
      </c>
    </row>
    <row r="424" spans="1:16" ht="15" thickBot="1">
      <c r="A424" s="3174">
        <v>422</v>
      </c>
      <c r="B424" s="3175" t="s">
        <v>3851</v>
      </c>
      <c r="C424" s="3176">
        <v>88.83</v>
      </c>
      <c r="D424" s="3176">
        <v>27.97</v>
      </c>
      <c r="F424" s="3177">
        <v>422</v>
      </c>
      <c r="G424" s="3175" t="s">
        <v>3742</v>
      </c>
      <c r="H424" s="3178">
        <v>-1038</v>
      </c>
      <c r="I424" s="3179">
        <v>13.14</v>
      </c>
      <c r="J424" s="3179">
        <v>4.1399999999999997</v>
      </c>
      <c r="L424" s="3177">
        <v>422</v>
      </c>
      <c r="M424" s="3175">
        <v>-10395</v>
      </c>
      <c r="N424" s="3175" t="s">
        <v>3423</v>
      </c>
      <c r="O424" s="3176">
        <v>23.43</v>
      </c>
      <c r="P424" s="3176">
        <v>7.38</v>
      </c>
    </row>
    <row r="425" spans="1:16" ht="15" thickBot="1">
      <c r="A425" s="3174">
        <v>423</v>
      </c>
      <c r="B425" s="3175" t="s">
        <v>3852</v>
      </c>
      <c r="C425" s="3176">
        <v>88.83</v>
      </c>
      <c r="D425" s="3176">
        <v>27.97</v>
      </c>
      <c r="F425" s="3177">
        <v>423</v>
      </c>
      <c r="G425" s="3175" t="s">
        <v>3742</v>
      </c>
      <c r="H425" s="3178">
        <v>-1039</v>
      </c>
      <c r="I425" s="3179">
        <v>13.14</v>
      </c>
      <c r="J425" s="3179">
        <v>4.1399999999999997</v>
      </c>
      <c r="L425" s="3177">
        <v>423</v>
      </c>
      <c r="M425" s="3175">
        <v>-10396</v>
      </c>
      <c r="N425" s="3175" t="s">
        <v>3423</v>
      </c>
      <c r="O425" s="3176">
        <v>23.43</v>
      </c>
      <c r="P425" s="3176">
        <v>7.38</v>
      </c>
    </row>
    <row r="426" spans="1:16" ht="15" thickBot="1">
      <c r="A426" s="3174">
        <v>424</v>
      </c>
      <c r="B426" s="3175" t="s">
        <v>3853</v>
      </c>
      <c r="C426" s="3176">
        <v>89.12</v>
      </c>
      <c r="D426" s="3176">
        <v>28.06</v>
      </c>
      <c r="F426" s="3177">
        <v>424</v>
      </c>
      <c r="G426" s="3175" t="s">
        <v>3742</v>
      </c>
      <c r="H426" s="3178">
        <v>-1040</v>
      </c>
      <c r="I426" s="3179">
        <v>9.57</v>
      </c>
      <c r="J426" s="3179">
        <v>3.01</v>
      </c>
      <c r="L426" s="3177">
        <v>424</v>
      </c>
      <c r="M426" s="3175">
        <v>-10397</v>
      </c>
      <c r="N426" s="3175" t="s">
        <v>3423</v>
      </c>
      <c r="O426" s="3176">
        <v>23.43</v>
      </c>
      <c r="P426" s="3176">
        <v>7.38</v>
      </c>
    </row>
    <row r="427" spans="1:16" ht="15" thickBot="1">
      <c r="A427" s="3174">
        <v>425</v>
      </c>
      <c r="B427" s="3175" t="s">
        <v>3854</v>
      </c>
      <c r="C427" s="3176">
        <v>112.42</v>
      </c>
      <c r="D427" s="3176">
        <v>35.39</v>
      </c>
      <c r="F427" s="3177">
        <v>425</v>
      </c>
      <c r="G427" s="3175" t="s">
        <v>3742</v>
      </c>
      <c r="H427" s="3178">
        <v>-1041</v>
      </c>
      <c r="I427" s="3179">
        <v>8.52</v>
      </c>
      <c r="J427" s="3179">
        <v>2.68</v>
      </c>
      <c r="L427" s="3177">
        <v>425</v>
      </c>
      <c r="M427" s="3175">
        <v>-10398</v>
      </c>
      <c r="N427" s="3175" t="s">
        <v>3423</v>
      </c>
      <c r="O427" s="3176">
        <v>23.43</v>
      </c>
      <c r="P427" s="3176">
        <v>7.38</v>
      </c>
    </row>
    <row r="428" spans="1:16" ht="15" thickBot="1">
      <c r="A428" s="3174">
        <v>426</v>
      </c>
      <c r="B428" s="3175" t="s">
        <v>3855</v>
      </c>
      <c r="C428" s="3176">
        <v>88.83</v>
      </c>
      <c r="D428" s="3176">
        <v>27.97</v>
      </c>
      <c r="F428" s="3177">
        <v>426</v>
      </c>
      <c r="G428" s="3175" t="s">
        <v>3742</v>
      </c>
      <c r="H428" s="3178">
        <v>-1042</v>
      </c>
      <c r="I428" s="3179">
        <v>9.44</v>
      </c>
      <c r="J428" s="3179">
        <v>2.97</v>
      </c>
      <c r="L428" s="3177">
        <v>426</v>
      </c>
      <c r="M428" s="3175">
        <v>-10399</v>
      </c>
      <c r="N428" s="3175" t="s">
        <v>3423</v>
      </c>
      <c r="O428" s="3176">
        <v>23.43</v>
      </c>
      <c r="P428" s="3176">
        <v>7.38</v>
      </c>
    </row>
    <row r="429" spans="1:16" ht="15" thickBot="1">
      <c r="A429" s="3174">
        <v>427</v>
      </c>
      <c r="B429" s="3175" t="s">
        <v>3856</v>
      </c>
      <c r="C429" s="3176">
        <v>88.83</v>
      </c>
      <c r="D429" s="3176">
        <v>27.97</v>
      </c>
      <c r="F429" s="3177">
        <v>427</v>
      </c>
      <c r="G429" s="3175" t="s">
        <v>3742</v>
      </c>
      <c r="H429" s="3178">
        <v>-1043</v>
      </c>
      <c r="I429" s="3179">
        <v>10.47</v>
      </c>
      <c r="J429" s="3179">
        <v>3.3</v>
      </c>
      <c r="L429" s="3177">
        <v>427</v>
      </c>
      <c r="M429" s="3175">
        <v>-10400</v>
      </c>
      <c r="N429" s="3175" t="s">
        <v>3423</v>
      </c>
      <c r="O429" s="3176">
        <v>23.43</v>
      </c>
      <c r="P429" s="3176">
        <v>7.38</v>
      </c>
    </row>
    <row r="430" spans="1:16" ht="15" thickBot="1">
      <c r="A430" s="3174">
        <v>428</v>
      </c>
      <c r="B430" s="3175" t="s">
        <v>3857</v>
      </c>
      <c r="C430" s="3176">
        <v>89.12</v>
      </c>
      <c r="D430" s="3176">
        <v>28.06</v>
      </c>
      <c r="F430" s="3177">
        <v>428</v>
      </c>
      <c r="G430" s="3175" t="s">
        <v>3742</v>
      </c>
      <c r="H430" s="3178">
        <v>-1044</v>
      </c>
      <c r="I430" s="3179">
        <v>10.66</v>
      </c>
      <c r="J430" s="3179">
        <v>3.36</v>
      </c>
      <c r="L430" s="3177">
        <v>428</v>
      </c>
      <c r="M430" s="3175">
        <v>-10401</v>
      </c>
      <c r="N430" s="3175" t="s">
        <v>3423</v>
      </c>
      <c r="O430" s="3176">
        <v>23.43</v>
      </c>
      <c r="P430" s="3176">
        <v>7.38</v>
      </c>
    </row>
    <row r="431" spans="1:16" ht="15" thickBot="1">
      <c r="A431" s="3174">
        <v>429</v>
      </c>
      <c r="B431" s="3175" t="s">
        <v>3858</v>
      </c>
      <c r="C431" s="3176">
        <v>112.42</v>
      </c>
      <c r="D431" s="3176">
        <v>35.39</v>
      </c>
      <c r="F431" s="3177">
        <v>429</v>
      </c>
      <c r="G431" s="3175" t="s">
        <v>3742</v>
      </c>
      <c r="H431" s="3178">
        <v>-1045</v>
      </c>
      <c r="I431" s="3179">
        <v>7.42</v>
      </c>
      <c r="J431" s="3179">
        <v>2.34</v>
      </c>
      <c r="L431" s="3177">
        <v>429</v>
      </c>
      <c r="M431" s="3175">
        <v>-10402</v>
      </c>
      <c r="N431" s="3175" t="s">
        <v>3423</v>
      </c>
      <c r="O431" s="3176">
        <v>23.43</v>
      </c>
      <c r="P431" s="3176">
        <v>7.38</v>
      </c>
    </row>
    <row r="432" spans="1:16" ht="15" thickBot="1">
      <c r="A432" s="3174">
        <v>430</v>
      </c>
      <c r="B432" s="3175" t="s">
        <v>3859</v>
      </c>
      <c r="C432" s="3176">
        <v>88.83</v>
      </c>
      <c r="D432" s="3176">
        <v>27.97</v>
      </c>
      <c r="F432" s="3177">
        <v>430</v>
      </c>
      <c r="G432" s="3175" t="s">
        <v>3742</v>
      </c>
      <c r="H432" s="3178">
        <v>-1046</v>
      </c>
      <c r="I432" s="3179">
        <v>7.42</v>
      </c>
      <c r="J432" s="3179">
        <v>2.34</v>
      </c>
      <c r="L432" s="3177">
        <v>430</v>
      </c>
      <c r="M432" s="3175">
        <v>-10403</v>
      </c>
      <c r="N432" s="3175" t="s">
        <v>3423</v>
      </c>
      <c r="O432" s="3176">
        <v>23.43</v>
      </c>
      <c r="P432" s="3176">
        <v>7.38</v>
      </c>
    </row>
    <row r="433" spans="1:16" ht="15" thickBot="1">
      <c r="A433" s="3174">
        <v>431</v>
      </c>
      <c r="B433" s="3175" t="s">
        <v>3860</v>
      </c>
      <c r="C433" s="3176">
        <v>88.83</v>
      </c>
      <c r="D433" s="3176">
        <v>27.97</v>
      </c>
      <c r="F433" s="3177">
        <v>431</v>
      </c>
      <c r="G433" s="3175" t="s">
        <v>3742</v>
      </c>
      <c r="H433" s="3178">
        <v>-1047</v>
      </c>
      <c r="I433" s="3179">
        <v>7.42</v>
      </c>
      <c r="J433" s="3179">
        <v>2.34</v>
      </c>
      <c r="L433" s="3177">
        <v>431</v>
      </c>
      <c r="M433" s="3175">
        <v>-10404</v>
      </c>
      <c r="N433" s="3175" t="s">
        <v>3423</v>
      </c>
      <c r="O433" s="3176">
        <v>23.43</v>
      </c>
      <c r="P433" s="3176">
        <v>7.38</v>
      </c>
    </row>
    <row r="434" spans="1:16" ht="15" thickBot="1">
      <c r="A434" s="3174">
        <v>432</v>
      </c>
      <c r="B434" s="3175" t="s">
        <v>3861</v>
      </c>
      <c r="C434" s="3176">
        <v>89.12</v>
      </c>
      <c r="D434" s="3176">
        <v>28.06</v>
      </c>
      <c r="F434" s="3177">
        <v>432</v>
      </c>
      <c r="G434" s="3175" t="s">
        <v>3742</v>
      </c>
      <c r="H434" s="3178">
        <v>-1048</v>
      </c>
      <c r="I434" s="3179">
        <v>7.42</v>
      </c>
      <c r="J434" s="3179">
        <v>2.34</v>
      </c>
      <c r="L434" s="3177">
        <v>432</v>
      </c>
      <c r="M434" s="3175">
        <v>-10405</v>
      </c>
      <c r="N434" s="3175" t="s">
        <v>3423</v>
      </c>
      <c r="O434" s="3176">
        <v>23.43</v>
      </c>
      <c r="P434" s="3176">
        <v>7.38</v>
      </c>
    </row>
    <row r="435" spans="1:16" ht="15" thickBot="1">
      <c r="A435" s="3174">
        <v>433</v>
      </c>
      <c r="B435" s="3175" t="s">
        <v>3862</v>
      </c>
      <c r="C435" s="3176">
        <v>89.16</v>
      </c>
      <c r="D435" s="3176">
        <v>28.07</v>
      </c>
      <c r="F435" s="3177">
        <v>433</v>
      </c>
      <c r="G435" s="3175" t="s">
        <v>3742</v>
      </c>
      <c r="H435" s="3178">
        <v>-1049</v>
      </c>
      <c r="I435" s="3179">
        <v>10.66</v>
      </c>
      <c r="J435" s="3179">
        <v>3.36</v>
      </c>
      <c r="L435" s="3177">
        <v>433</v>
      </c>
      <c r="M435" s="3175">
        <v>-10406</v>
      </c>
      <c r="N435" s="3175" t="s">
        <v>3423</v>
      </c>
      <c r="O435" s="3176">
        <v>23.43</v>
      </c>
      <c r="P435" s="3176">
        <v>7.38</v>
      </c>
    </row>
    <row r="436" spans="1:16" ht="15" thickBot="1">
      <c r="A436" s="3174">
        <v>434</v>
      </c>
      <c r="B436" s="3175" t="s">
        <v>3863</v>
      </c>
      <c r="C436" s="3176">
        <v>88.88</v>
      </c>
      <c r="D436" s="3176">
        <v>27.98</v>
      </c>
      <c r="F436" s="3177">
        <v>434</v>
      </c>
      <c r="G436" s="3175" t="s">
        <v>3742</v>
      </c>
      <c r="H436" s="3178">
        <v>-1050</v>
      </c>
      <c r="I436" s="3179">
        <v>10.47</v>
      </c>
      <c r="J436" s="3179">
        <v>3.3</v>
      </c>
      <c r="L436" s="3177">
        <v>434</v>
      </c>
      <c r="M436" s="3175">
        <v>-10407</v>
      </c>
      <c r="N436" s="3175" t="s">
        <v>3423</v>
      </c>
      <c r="O436" s="3176">
        <v>23.43</v>
      </c>
      <c r="P436" s="3176">
        <v>7.38</v>
      </c>
    </row>
    <row r="437" spans="1:16" ht="15" thickBot="1">
      <c r="A437" s="3174">
        <v>435</v>
      </c>
      <c r="B437" s="3175" t="s">
        <v>3864</v>
      </c>
      <c r="C437" s="3176">
        <v>88.88</v>
      </c>
      <c r="D437" s="3176">
        <v>27.98</v>
      </c>
      <c r="F437" s="3177">
        <v>435</v>
      </c>
      <c r="G437" s="3175" t="s">
        <v>3742</v>
      </c>
      <c r="H437" s="3178">
        <v>-1051</v>
      </c>
      <c r="I437" s="3179">
        <v>12.05</v>
      </c>
      <c r="J437" s="3179">
        <v>3.79</v>
      </c>
      <c r="L437" s="3177">
        <v>435</v>
      </c>
      <c r="M437" s="3175">
        <v>-10408</v>
      </c>
      <c r="N437" s="3175" t="s">
        <v>3423</v>
      </c>
      <c r="O437" s="3176">
        <v>23.43</v>
      </c>
      <c r="P437" s="3176">
        <v>7.38</v>
      </c>
    </row>
    <row r="438" spans="1:16" ht="15" thickBot="1">
      <c r="A438" s="3174">
        <v>436</v>
      </c>
      <c r="B438" s="3175" t="s">
        <v>3865</v>
      </c>
      <c r="C438" s="3176">
        <v>112.33</v>
      </c>
      <c r="D438" s="3176">
        <v>35.369999999999997</v>
      </c>
      <c r="F438" s="3177">
        <v>436</v>
      </c>
      <c r="G438" s="3175" t="s">
        <v>3742</v>
      </c>
      <c r="H438" s="3178">
        <v>-1052</v>
      </c>
      <c r="I438" s="3179">
        <v>9.27</v>
      </c>
      <c r="J438" s="3179">
        <v>2.92</v>
      </c>
      <c r="L438" s="3177">
        <v>436</v>
      </c>
      <c r="M438" s="3175">
        <v>-10409</v>
      </c>
      <c r="N438" s="3175" t="s">
        <v>3423</v>
      </c>
      <c r="O438" s="3176">
        <v>23.43</v>
      </c>
      <c r="P438" s="3176">
        <v>7.38</v>
      </c>
    </row>
    <row r="439" spans="1:16" ht="15" thickBot="1">
      <c r="A439" s="3174">
        <v>437</v>
      </c>
      <c r="B439" s="3175" t="s">
        <v>3866</v>
      </c>
      <c r="C439" s="3176">
        <v>89.16</v>
      </c>
      <c r="D439" s="3176">
        <v>28.07</v>
      </c>
      <c r="F439" s="3177">
        <v>437</v>
      </c>
      <c r="G439" s="3175" t="s">
        <v>3742</v>
      </c>
      <c r="H439" s="3178">
        <v>-1053</v>
      </c>
      <c r="I439" s="3179">
        <v>8.75</v>
      </c>
      <c r="J439" s="3179">
        <v>2.75</v>
      </c>
      <c r="L439" s="3177">
        <v>437</v>
      </c>
      <c r="M439" s="3175">
        <v>-10410</v>
      </c>
      <c r="N439" s="3175" t="s">
        <v>3423</v>
      </c>
      <c r="O439" s="3176">
        <v>23.43</v>
      </c>
      <c r="P439" s="3176">
        <v>7.38</v>
      </c>
    </row>
    <row r="440" spans="1:16" ht="15" thickBot="1">
      <c r="A440" s="3174">
        <v>438</v>
      </c>
      <c r="B440" s="3175" t="s">
        <v>3867</v>
      </c>
      <c r="C440" s="3176">
        <v>88.88</v>
      </c>
      <c r="D440" s="3176">
        <v>27.98</v>
      </c>
      <c r="F440" s="3177">
        <v>438</v>
      </c>
      <c r="G440" s="3175" t="s">
        <v>3742</v>
      </c>
      <c r="H440" s="3178">
        <v>-1054</v>
      </c>
      <c r="I440" s="3179">
        <v>9.02</v>
      </c>
      <c r="J440" s="3179">
        <v>2.84</v>
      </c>
      <c r="L440" s="3177">
        <v>438</v>
      </c>
      <c r="M440" s="3175">
        <v>-10411</v>
      </c>
      <c r="N440" s="3175" t="s">
        <v>3423</v>
      </c>
      <c r="O440" s="3176">
        <v>23.43</v>
      </c>
      <c r="P440" s="3176">
        <v>7.38</v>
      </c>
    </row>
    <row r="441" spans="1:16" ht="15" thickBot="1">
      <c r="A441" s="3174">
        <v>439</v>
      </c>
      <c r="B441" s="3175" t="s">
        <v>3868</v>
      </c>
      <c r="C441" s="3176">
        <v>88.88</v>
      </c>
      <c r="D441" s="3176">
        <v>27.98</v>
      </c>
      <c r="F441" s="3177">
        <v>439</v>
      </c>
      <c r="G441" s="3175" t="s">
        <v>3869</v>
      </c>
      <c r="H441" s="3178">
        <v>-2001</v>
      </c>
      <c r="I441" s="3179">
        <v>9.15</v>
      </c>
      <c r="J441" s="3179">
        <v>2.88</v>
      </c>
      <c r="L441" s="3177">
        <v>439</v>
      </c>
      <c r="M441" s="3175">
        <v>-10412</v>
      </c>
      <c r="N441" s="3175" t="s">
        <v>3423</v>
      </c>
      <c r="O441" s="3176">
        <v>23.43</v>
      </c>
      <c r="P441" s="3176">
        <v>7.38</v>
      </c>
    </row>
    <row r="442" spans="1:16" ht="15" thickBot="1">
      <c r="A442" s="3174">
        <v>440</v>
      </c>
      <c r="B442" s="3175" t="s">
        <v>3870</v>
      </c>
      <c r="C442" s="3176">
        <v>112.33</v>
      </c>
      <c r="D442" s="3176">
        <v>35.369999999999997</v>
      </c>
      <c r="F442" s="3177">
        <v>440</v>
      </c>
      <c r="G442" s="3175" t="s">
        <v>3869</v>
      </c>
      <c r="H442" s="3178">
        <v>-2002</v>
      </c>
      <c r="I442" s="3179">
        <v>12.06</v>
      </c>
      <c r="J442" s="3179">
        <v>3.8</v>
      </c>
      <c r="L442" s="3177">
        <v>440</v>
      </c>
      <c r="M442" s="3175">
        <v>-10413</v>
      </c>
      <c r="N442" s="3175" t="s">
        <v>3423</v>
      </c>
      <c r="O442" s="3176">
        <v>23.43</v>
      </c>
      <c r="P442" s="3176">
        <v>7.38</v>
      </c>
    </row>
    <row r="443" spans="1:16" ht="15" thickBot="1">
      <c r="A443" s="3174">
        <v>441</v>
      </c>
      <c r="B443" s="3175" t="s">
        <v>3871</v>
      </c>
      <c r="C443" s="3176">
        <v>89.16</v>
      </c>
      <c r="D443" s="3176">
        <v>28.07</v>
      </c>
      <c r="F443" s="3177">
        <v>441</v>
      </c>
      <c r="G443" s="3175" t="s">
        <v>3869</v>
      </c>
      <c r="H443" s="3178">
        <v>-2003</v>
      </c>
      <c r="I443" s="3179">
        <v>13.02</v>
      </c>
      <c r="J443" s="3179">
        <v>4.0999999999999996</v>
      </c>
      <c r="L443" s="3177">
        <v>441</v>
      </c>
      <c r="M443" s="3175">
        <v>-10414</v>
      </c>
      <c r="N443" s="3175" t="s">
        <v>3423</v>
      </c>
      <c r="O443" s="3176">
        <v>23.43</v>
      </c>
      <c r="P443" s="3176">
        <v>7.38</v>
      </c>
    </row>
    <row r="444" spans="1:16" ht="15" thickBot="1">
      <c r="A444" s="3174">
        <v>442</v>
      </c>
      <c r="B444" s="3175" t="s">
        <v>3872</v>
      </c>
      <c r="C444" s="3176">
        <v>88.88</v>
      </c>
      <c r="D444" s="3176">
        <v>27.98</v>
      </c>
      <c r="F444" s="3177">
        <v>442</v>
      </c>
      <c r="G444" s="3175" t="s">
        <v>3869</v>
      </c>
      <c r="H444" s="3178">
        <v>-2004</v>
      </c>
      <c r="I444" s="3179">
        <v>6.81</v>
      </c>
      <c r="J444" s="3179">
        <v>2.14</v>
      </c>
      <c r="L444" s="3177">
        <v>442</v>
      </c>
      <c r="M444" s="3175">
        <v>-10415</v>
      </c>
      <c r="N444" s="3175" t="s">
        <v>3423</v>
      </c>
      <c r="O444" s="3176">
        <v>23.43</v>
      </c>
      <c r="P444" s="3176">
        <v>7.38</v>
      </c>
    </row>
    <row r="445" spans="1:16" ht="15" thickBot="1">
      <c r="A445" s="3174">
        <v>443</v>
      </c>
      <c r="B445" s="3175" t="s">
        <v>3873</v>
      </c>
      <c r="C445" s="3176">
        <v>88.88</v>
      </c>
      <c r="D445" s="3176">
        <v>27.98</v>
      </c>
      <c r="F445" s="3177">
        <v>443</v>
      </c>
      <c r="G445" s="3175" t="s">
        <v>3869</v>
      </c>
      <c r="H445" s="3178">
        <v>-2005</v>
      </c>
      <c r="I445" s="3179">
        <v>6.63</v>
      </c>
      <c r="J445" s="3179">
        <v>2.09</v>
      </c>
      <c r="L445" s="3177">
        <v>443</v>
      </c>
      <c r="M445" s="3175">
        <v>-10416</v>
      </c>
      <c r="N445" s="3175" t="s">
        <v>3423</v>
      </c>
      <c r="O445" s="3176">
        <v>23.43</v>
      </c>
      <c r="P445" s="3176">
        <v>7.38</v>
      </c>
    </row>
    <row r="446" spans="1:16" ht="15" thickBot="1">
      <c r="A446" s="3174">
        <v>444</v>
      </c>
      <c r="B446" s="3175" t="s">
        <v>3874</v>
      </c>
      <c r="C446" s="3176">
        <v>112.33</v>
      </c>
      <c r="D446" s="3176">
        <v>35.369999999999997</v>
      </c>
      <c r="F446" s="3177">
        <v>444</v>
      </c>
      <c r="G446" s="3175" t="s">
        <v>3869</v>
      </c>
      <c r="H446" s="3178">
        <v>-2006</v>
      </c>
      <c r="I446" s="3179">
        <v>12.57</v>
      </c>
      <c r="J446" s="3179">
        <v>3.96</v>
      </c>
      <c r="L446" s="3177">
        <v>444</v>
      </c>
      <c r="M446" s="3175">
        <v>-10417</v>
      </c>
      <c r="N446" s="3175" t="s">
        <v>3423</v>
      </c>
      <c r="O446" s="3176">
        <v>23.43</v>
      </c>
      <c r="P446" s="3176">
        <v>7.38</v>
      </c>
    </row>
    <row r="447" spans="1:16" ht="15" thickBot="1">
      <c r="A447" s="3174">
        <v>445</v>
      </c>
      <c r="B447" s="3175" t="s">
        <v>3875</v>
      </c>
      <c r="C447" s="3176">
        <v>89.16</v>
      </c>
      <c r="D447" s="3176">
        <v>28.07</v>
      </c>
      <c r="F447" s="3177">
        <v>445</v>
      </c>
      <c r="G447" s="3175" t="s">
        <v>3869</v>
      </c>
      <c r="H447" s="3178">
        <v>-2007</v>
      </c>
      <c r="I447" s="3179">
        <v>7.67</v>
      </c>
      <c r="J447" s="3179">
        <v>2.41</v>
      </c>
      <c r="L447" s="3177">
        <v>445</v>
      </c>
      <c r="M447" s="3175">
        <v>-10418</v>
      </c>
      <c r="N447" s="3175" t="s">
        <v>3423</v>
      </c>
      <c r="O447" s="3176">
        <v>23.43</v>
      </c>
      <c r="P447" s="3176">
        <v>7.38</v>
      </c>
    </row>
    <row r="448" spans="1:16" ht="15" thickBot="1">
      <c r="A448" s="3174">
        <v>446</v>
      </c>
      <c r="B448" s="3175" t="s">
        <v>3876</v>
      </c>
      <c r="C448" s="3176">
        <v>88.88</v>
      </c>
      <c r="D448" s="3176">
        <v>27.98</v>
      </c>
      <c r="F448" s="3177">
        <v>446</v>
      </c>
      <c r="G448" s="3175" t="s">
        <v>3869</v>
      </c>
      <c r="H448" s="3178">
        <v>-2008</v>
      </c>
      <c r="I448" s="3179">
        <v>9.84</v>
      </c>
      <c r="J448" s="3179">
        <v>3.1</v>
      </c>
      <c r="L448" s="3177">
        <v>446</v>
      </c>
      <c r="M448" s="3175">
        <v>-10419</v>
      </c>
      <c r="N448" s="3175" t="s">
        <v>3423</v>
      </c>
      <c r="O448" s="3176">
        <v>23.43</v>
      </c>
      <c r="P448" s="3176">
        <v>7.38</v>
      </c>
    </row>
    <row r="449" spans="1:16" ht="15" thickBot="1">
      <c r="A449" s="3174">
        <v>447</v>
      </c>
      <c r="B449" s="3175" t="s">
        <v>3877</v>
      </c>
      <c r="C449" s="3176">
        <v>88.88</v>
      </c>
      <c r="D449" s="3176">
        <v>27.98</v>
      </c>
      <c r="F449" s="3177">
        <v>447</v>
      </c>
      <c r="G449" s="3175" t="s">
        <v>3869</v>
      </c>
      <c r="H449" s="3178">
        <v>-2009</v>
      </c>
      <c r="I449" s="3179">
        <v>8.89</v>
      </c>
      <c r="J449" s="3179">
        <v>2.8</v>
      </c>
      <c r="L449" s="3177">
        <v>447</v>
      </c>
      <c r="M449" s="3175">
        <v>-10420</v>
      </c>
      <c r="N449" s="3175" t="s">
        <v>3423</v>
      </c>
      <c r="O449" s="3176">
        <v>23.43</v>
      </c>
      <c r="P449" s="3176">
        <v>7.38</v>
      </c>
    </row>
    <row r="450" spans="1:16" ht="15" thickBot="1">
      <c r="A450" s="3174">
        <v>448</v>
      </c>
      <c r="B450" s="3175" t="s">
        <v>3878</v>
      </c>
      <c r="C450" s="3176">
        <v>112.33</v>
      </c>
      <c r="D450" s="3176">
        <v>35.369999999999997</v>
      </c>
      <c r="F450" s="3177">
        <v>448</v>
      </c>
      <c r="G450" s="3175" t="s">
        <v>3869</v>
      </c>
      <c r="H450" s="3178">
        <v>-2010</v>
      </c>
      <c r="I450" s="3179">
        <v>10.42</v>
      </c>
      <c r="J450" s="3179">
        <v>3.28</v>
      </c>
      <c r="L450" s="3177">
        <v>448</v>
      </c>
      <c r="M450" s="3175">
        <v>-10421</v>
      </c>
      <c r="N450" s="3175" t="s">
        <v>3423</v>
      </c>
      <c r="O450" s="3176">
        <v>23.43</v>
      </c>
      <c r="P450" s="3176">
        <v>7.38</v>
      </c>
    </row>
    <row r="451" spans="1:16" ht="15" thickBot="1">
      <c r="A451" s="3174">
        <v>449</v>
      </c>
      <c r="B451" s="3175" t="s">
        <v>3879</v>
      </c>
      <c r="C451" s="3176">
        <v>89.16</v>
      </c>
      <c r="D451" s="3176">
        <v>28.07</v>
      </c>
      <c r="F451" s="3177">
        <v>449</v>
      </c>
      <c r="G451" s="3175" t="s">
        <v>3869</v>
      </c>
      <c r="H451" s="3178">
        <v>-2011</v>
      </c>
      <c r="I451" s="3179">
        <v>10.73</v>
      </c>
      <c r="J451" s="3179">
        <v>3.38</v>
      </c>
      <c r="L451" s="3177">
        <v>449</v>
      </c>
      <c r="M451" s="3175">
        <v>-10422</v>
      </c>
      <c r="N451" s="3175" t="s">
        <v>3423</v>
      </c>
      <c r="O451" s="3176">
        <v>23.43</v>
      </c>
      <c r="P451" s="3176">
        <v>7.38</v>
      </c>
    </row>
    <row r="452" spans="1:16" ht="15" thickBot="1">
      <c r="A452" s="3174">
        <v>450</v>
      </c>
      <c r="B452" s="3175" t="s">
        <v>3880</v>
      </c>
      <c r="C452" s="3176">
        <v>88.88</v>
      </c>
      <c r="D452" s="3176">
        <v>27.98</v>
      </c>
      <c r="F452" s="3177">
        <v>450</v>
      </c>
      <c r="G452" s="3175" t="s">
        <v>3869</v>
      </c>
      <c r="H452" s="3178">
        <v>-2012</v>
      </c>
      <c r="I452" s="3179">
        <v>10.119999999999999</v>
      </c>
      <c r="J452" s="3179">
        <v>3.19</v>
      </c>
      <c r="L452" s="3177">
        <v>450</v>
      </c>
      <c r="M452" s="3175">
        <v>-10423</v>
      </c>
      <c r="N452" s="3175" t="s">
        <v>3423</v>
      </c>
      <c r="O452" s="3176">
        <v>23.43</v>
      </c>
      <c r="P452" s="3176">
        <v>7.38</v>
      </c>
    </row>
    <row r="453" spans="1:16" ht="15" thickBot="1">
      <c r="A453" s="3174">
        <v>451</v>
      </c>
      <c r="B453" s="3175" t="s">
        <v>3881</v>
      </c>
      <c r="C453" s="3176">
        <v>88.88</v>
      </c>
      <c r="D453" s="3176">
        <v>27.98</v>
      </c>
      <c r="F453" s="3177">
        <v>451</v>
      </c>
      <c r="G453" s="3175" t="s">
        <v>3869</v>
      </c>
      <c r="H453" s="3178">
        <v>-2013</v>
      </c>
      <c r="I453" s="3179">
        <v>10.119999999999999</v>
      </c>
      <c r="J453" s="3179">
        <v>3.19</v>
      </c>
      <c r="L453" s="3177">
        <v>451</v>
      </c>
      <c r="M453" s="3175">
        <v>-10424</v>
      </c>
      <c r="N453" s="3175" t="s">
        <v>3423</v>
      </c>
      <c r="O453" s="3176">
        <v>23.43</v>
      </c>
      <c r="P453" s="3176">
        <v>7.38</v>
      </c>
    </row>
    <row r="454" spans="1:16" ht="15" thickBot="1">
      <c r="A454" s="3174">
        <v>452</v>
      </c>
      <c r="B454" s="3175" t="s">
        <v>3882</v>
      </c>
      <c r="C454" s="3176">
        <v>112.33</v>
      </c>
      <c r="D454" s="3176">
        <v>35.369999999999997</v>
      </c>
      <c r="F454" s="3177">
        <v>452</v>
      </c>
      <c r="G454" s="3175" t="s">
        <v>3869</v>
      </c>
      <c r="H454" s="3178">
        <v>-2014</v>
      </c>
      <c r="I454" s="3179">
        <v>10.53</v>
      </c>
      <c r="J454" s="3179">
        <v>3.32</v>
      </c>
      <c r="L454" s="3177">
        <v>452</v>
      </c>
      <c r="M454" s="3175">
        <v>-10425</v>
      </c>
      <c r="N454" s="3175" t="s">
        <v>3423</v>
      </c>
      <c r="O454" s="3176">
        <v>23.43</v>
      </c>
      <c r="P454" s="3176">
        <v>7.38</v>
      </c>
    </row>
    <row r="455" spans="1:16" ht="15" thickBot="1">
      <c r="A455" s="3174">
        <v>453</v>
      </c>
      <c r="B455" s="3175" t="s">
        <v>3883</v>
      </c>
      <c r="C455" s="3176">
        <v>89.16</v>
      </c>
      <c r="D455" s="3176">
        <v>28.07</v>
      </c>
      <c r="F455" s="3177">
        <v>453</v>
      </c>
      <c r="G455" s="3175" t="s">
        <v>3869</v>
      </c>
      <c r="H455" s="3178">
        <v>-2015</v>
      </c>
      <c r="I455" s="3179">
        <v>6.83</v>
      </c>
      <c r="J455" s="3179">
        <v>2.15</v>
      </c>
      <c r="L455" s="3177">
        <v>453</v>
      </c>
      <c r="M455" s="3175">
        <v>-10426</v>
      </c>
      <c r="N455" s="3175" t="s">
        <v>3423</v>
      </c>
      <c r="O455" s="3176">
        <v>23.43</v>
      </c>
      <c r="P455" s="3176">
        <v>7.38</v>
      </c>
    </row>
    <row r="456" spans="1:16" ht="15" thickBot="1">
      <c r="A456" s="3174">
        <v>454</v>
      </c>
      <c r="B456" s="3175" t="s">
        <v>3884</v>
      </c>
      <c r="C456" s="3176">
        <v>88.88</v>
      </c>
      <c r="D456" s="3176">
        <v>27.98</v>
      </c>
      <c r="F456" s="3177">
        <v>454</v>
      </c>
      <c r="G456" s="3175" t="s">
        <v>3869</v>
      </c>
      <c r="H456" s="3178">
        <v>-2016</v>
      </c>
      <c r="I456" s="3179">
        <v>7.87</v>
      </c>
      <c r="J456" s="3179">
        <v>2.48</v>
      </c>
      <c r="L456" s="3177">
        <v>454</v>
      </c>
      <c r="M456" s="3175">
        <v>-10427</v>
      </c>
      <c r="N456" s="3175" t="s">
        <v>3423</v>
      </c>
      <c r="O456" s="3176">
        <v>23.43</v>
      </c>
      <c r="P456" s="3176">
        <v>7.38</v>
      </c>
    </row>
    <row r="457" spans="1:16" ht="15" thickBot="1">
      <c r="A457" s="3174">
        <v>455</v>
      </c>
      <c r="B457" s="3175" t="s">
        <v>3885</v>
      </c>
      <c r="C457" s="3176">
        <v>88.88</v>
      </c>
      <c r="D457" s="3176">
        <v>27.98</v>
      </c>
      <c r="F457" s="3177">
        <v>455</v>
      </c>
      <c r="G457" s="3175" t="s">
        <v>3869</v>
      </c>
      <c r="H457" s="3178">
        <v>-2017</v>
      </c>
      <c r="I457" s="3179">
        <v>10.119999999999999</v>
      </c>
      <c r="J457" s="3179">
        <v>3.19</v>
      </c>
      <c r="L457" s="3177">
        <v>455</v>
      </c>
      <c r="M457" s="3175">
        <v>-10428</v>
      </c>
      <c r="N457" s="3175" t="s">
        <v>3423</v>
      </c>
      <c r="O457" s="3176">
        <v>23.43</v>
      </c>
      <c r="P457" s="3176">
        <v>7.38</v>
      </c>
    </row>
    <row r="458" spans="1:16" ht="15" thickBot="1">
      <c r="A458" s="3174">
        <v>456</v>
      </c>
      <c r="B458" s="3175" t="s">
        <v>3886</v>
      </c>
      <c r="C458" s="3176">
        <v>112.33</v>
      </c>
      <c r="D458" s="3176">
        <v>35.369999999999997</v>
      </c>
      <c r="F458" s="3177">
        <v>456</v>
      </c>
      <c r="G458" s="3175" t="s">
        <v>3869</v>
      </c>
      <c r="H458" s="3178">
        <v>-2018</v>
      </c>
      <c r="I458" s="3179">
        <v>10.119999999999999</v>
      </c>
      <c r="J458" s="3179">
        <v>3.19</v>
      </c>
      <c r="L458" s="3177">
        <v>456</v>
      </c>
      <c r="M458" s="3175">
        <v>-10429</v>
      </c>
      <c r="N458" s="3175" t="s">
        <v>3423</v>
      </c>
      <c r="O458" s="3176">
        <v>23.43</v>
      </c>
      <c r="P458" s="3176">
        <v>7.38</v>
      </c>
    </row>
    <row r="459" spans="1:16" ht="15" thickBot="1">
      <c r="A459" s="3174">
        <v>457</v>
      </c>
      <c r="B459" s="3175" t="s">
        <v>3887</v>
      </c>
      <c r="C459" s="3176">
        <v>89.16</v>
      </c>
      <c r="D459" s="3176">
        <v>28.07</v>
      </c>
      <c r="F459" s="3177">
        <v>457</v>
      </c>
      <c r="G459" s="3175" t="s">
        <v>3869</v>
      </c>
      <c r="H459" s="3178">
        <v>-2019</v>
      </c>
      <c r="I459" s="3179">
        <v>10.73</v>
      </c>
      <c r="J459" s="3179">
        <v>3.38</v>
      </c>
      <c r="L459" s="3177">
        <v>457</v>
      </c>
      <c r="M459" s="3175">
        <v>-10430</v>
      </c>
      <c r="N459" s="3175" t="s">
        <v>3423</v>
      </c>
      <c r="O459" s="3176">
        <v>23.43</v>
      </c>
      <c r="P459" s="3176">
        <v>7.38</v>
      </c>
    </row>
    <row r="460" spans="1:16" ht="15" thickBot="1">
      <c r="A460" s="3174">
        <v>458</v>
      </c>
      <c r="B460" s="3175" t="s">
        <v>3888</v>
      </c>
      <c r="C460" s="3176">
        <v>88.88</v>
      </c>
      <c r="D460" s="3176">
        <v>27.98</v>
      </c>
      <c r="F460" s="3177">
        <v>458</v>
      </c>
      <c r="G460" s="3175" t="s">
        <v>3869</v>
      </c>
      <c r="H460" s="3178">
        <v>-2020</v>
      </c>
      <c r="I460" s="3179">
        <v>10.42</v>
      </c>
      <c r="J460" s="3179">
        <v>3.28</v>
      </c>
      <c r="L460" s="3177">
        <v>458</v>
      </c>
      <c r="M460" s="3175">
        <v>-10431</v>
      </c>
      <c r="N460" s="3175" t="s">
        <v>3423</v>
      </c>
      <c r="O460" s="3176">
        <v>23.43</v>
      </c>
      <c r="P460" s="3176">
        <v>7.38</v>
      </c>
    </row>
    <row r="461" spans="1:16" ht="15" thickBot="1">
      <c r="A461" s="3174">
        <v>459</v>
      </c>
      <c r="B461" s="3175" t="s">
        <v>3889</v>
      </c>
      <c r="C461" s="3176">
        <v>88.88</v>
      </c>
      <c r="D461" s="3176">
        <v>27.98</v>
      </c>
      <c r="F461" s="3177">
        <v>459</v>
      </c>
      <c r="G461" s="3175" t="s">
        <v>3869</v>
      </c>
      <c r="H461" s="3178">
        <v>-2021</v>
      </c>
      <c r="I461" s="3179">
        <v>8.89</v>
      </c>
      <c r="J461" s="3179">
        <v>2.8</v>
      </c>
      <c r="L461" s="3177">
        <v>459</v>
      </c>
      <c r="M461" s="3175">
        <v>-10432</v>
      </c>
      <c r="N461" s="3175" t="s">
        <v>3423</v>
      </c>
      <c r="O461" s="3176">
        <v>23.43</v>
      </c>
      <c r="P461" s="3176">
        <v>7.38</v>
      </c>
    </row>
    <row r="462" spans="1:16" ht="15" thickBot="1">
      <c r="A462" s="3174">
        <v>460</v>
      </c>
      <c r="B462" s="3175" t="s">
        <v>3890</v>
      </c>
      <c r="C462" s="3176">
        <v>112.33</v>
      </c>
      <c r="D462" s="3176">
        <v>35.369999999999997</v>
      </c>
      <c r="F462" s="3177">
        <v>460</v>
      </c>
      <c r="G462" s="3175" t="s">
        <v>3869</v>
      </c>
      <c r="H462" s="3178">
        <v>-2022</v>
      </c>
      <c r="I462" s="3179">
        <v>9.4499999999999993</v>
      </c>
      <c r="J462" s="3179">
        <v>2.98</v>
      </c>
      <c r="L462" s="3177">
        <v>460</v>
      </c>
      <c r="M462" s="3175">
        <v>-10433</v>
      </c>
      <c r="N462" s="3175" t="s">
        <v>3423</v>
      </c>
      <c r="O462" s="3176">
        <v>23.43</v>
      </c>
      <c r="P462" s="3176">
        <v>7.38</v>
      </c>
    </row>
    <row r="463" spans="1:16" ht="15" thickBot="1">
      <c r="A463" s="3174">
        <v>461</v>
      </c>
      <c r="B463" s="3175" t="s">
        <v>3891</v>
      </c>
      <c r="C463" s="3176">
        <v>89.16</v>
      </c>
      <c r="D463" s="3176">
        <v>28.07</v>
      </c>
      <c r="F463" s="3177">
        <v>461</v>
      </c>
      <c r="G463" s="3175" t="s">
        <v>3869</v>
      </c>
      <c r="H463" s="3178">
        <v>-2023</v>
      </c>
      <c r="I463" s="3179">
        <v>8.34</v>
      </c>
      <c r="J463" s="3179">
        <v>2.63</v>
      </c>
      <c r="L463" s="3177">
        <v>461</v>
      </c>
      <c r="M463" s="3175">
        <v>-10434</v>
      </c>
      <c r="N463" s="3175" t="s">
        <v>3423</v>
      </c>
      <c r="O463" s="3176">
        <v>23.43</v>
      </c>
      <c r="P463" s="3176">
        <v>7.38</v>
      </c>
    </row>
    <row r="464" spans="1:16" ht="15" thickBot="1">
      <c r="A464" s="3174">
        <v>462</v>
      </c>
      <c r="B464" s="3175" t="s">
        <v>3892</v>
      </c>
      <c r="C464" s="3176">
        <v>88.88</v>
      </c>
      <c r="D464" s="3176">
        <v>27.98</v>
      </c>
      <c r="F464" s="3177">
        <v>462</v>
      </c>
      <c r="G464" s="3175" t="s">
        <v>3869</v>
      </c>
      <c r="H464" s="3178">
        <v>-2024</v>
      </c>
      <c r="I464" s="3179">
        <v>6.25</v>
      </c>
      <c r="J464" s="3179">
        <v>1.97</v>
      </c>
      <c r="L464" s="3177">
        <v>462</v>
      </c>
      <c r="M464" s="3175">
        <v>-10435</v>
      </c>
      <c r="N464" s="3175" t="s">
        <v>3423</v>
      </c>
      <c r="O464" s="3176">
        <v>23.43</v>
      </c>
      <c r="P464" s="3176">
        <v>7.38</v>
      </c>
    </row>
    <row r="465" spans="1:16" ht="15" thickBot="1">
      <c r="A465" s="3174">
        <v>463</v>
      </c>
      <c r="B465" s="3175" t="s">
        <v>3893</v>
      </c>
      <c r="C465" s="3176">
        <v>88.88</v>
      </c>
      <c r="D465" s="3176">
        <v>27.98</v>
      </c>
      <c r="F465" s="3177">
        <v>463</v>
      </c>
      <c r="G465" s="3175" t="s">
        <v>3869</v>
      </c>
      <c r="H465" s="3178">
        <v>-2025</v>
      </c>
      <c r="I465" s="3179">
        <v>5.63</v>
      </c>
      <c r="J465" s="3179">
        <v>1.77</v>
      </c>
      <c r="L465" s="3177">
        <v>463</v>
      </c>
      <c r="M465" s="3175">
        <v>-10436</v>
      </c>
      <c r="N465" s="3175" t="s">
        <v>3423</v>
      </c>
      <c r="O465" s="3176">
        <v>23.43</v>
      </c>
      <c r="P465" s="3176">
        <v>7.38</v>
      </c>
    </row>
    <row r="466" spans="1:16" ht="15" thickBot="1">
      <c r="A466" s="3174">
        <v>464</v>
      </c>
      <c r="B466" s="3175" t="s">
        <v>3894</v>
      </c>
      <c r="C466" s="3176">
        <v>112.33</v>
      </c>
      <c r="D466" s="3176">
        <v>35.369999999999997</v>
      </c>
      <c r="F466" s="3177">
        <v>464</v>
      </c>
      <c r="G466" s="3175" t="s">
        <v>3869</v>
      </c>
      <c r="H466" s="3178">
        <v>-2026</v>
      </c>
      <c r="I466" s="3179">
        <v>10.65</v>
      </c>
      <c r="J466" s="3179">
        <v>3.35</v>
      </c>
      <c r="L466" s="3177">
        <v>464</v>
      </c>
      <c r="M466" s="3175">
        <v>-10437</v>
      </c>
      <c r="N466" s="3175" t="s">
        <v>3423</v>
      </c>
      <c r="O466" s="3176">
        <v>23.43</v>
      </c>
      <c r="P466" s="3176">
        <v>7.38</v>
      </c>
    </row>
    <row r="467" spans="1:16" ht="15" thickBot="1">
      <c r="A467" s="3174">
        <v>465</v>
      </c>
      <c r="B467" s="3175" t="s">
        <v>3895</v>
      </c>
      <c r="C467" s="3176">
        <v>89.16</v>
      </c>
      <c r="D467" s="3176">
        <v>28.07</v>
      </c>
      <c r="F467" s="3177">
        <v>465</v>
      </c>
      <c r="G467" s="3175" t="s">
        <v>3869</v>
      </c>
      <c r="H467" s="3178">
        <v>-2027</v>
      </c>
      <c r="I467" s="3179">
        <v>14.43</v>
      </c>
      <c r="J467" s="3179">
        <v>4.54</v>
      </c>
      <c r="L467" s="3177">
        <v>465</v>
      </c>
      <c r="M467" s="3175">
        <v>-10438</v>
      </c>
      <c r="N467" s="3175" t="s">
        <v>3423</v>
      </c>
      <c r="O467" s="3176">
        <v>23.43</v>
      </c>
      <c r="P467" s="3176">
        <v>7.38</v>
      </c>
    </row>
    <row r="468" spans="1:16" ht="15" thickBot="1">
      <c r="A468" s="3174">
        <v>466</v>
      </c>
      <c r="B468" s="3175" t="s">
        <v>3896</v>
      </c>
      <c r="C468" s="3176">
        <v>88.88</v>
      </c>
      <c r="D468" s="3176">
        <v>27.98</v>
      </c>
      <c r="F468" s="3177">
        <v>466</v>
      </c>
      <c r="G468" s="3175" t="s">
        <v>3869</v>
      </c>
      <c r="H468" s="3178">
        <v>-2028</v>
      </c>
      <c r="I468" s="3179">
        <v>6.81</v>
      </c>
      <c r="J468" s="3179">
        <v>2.14</v>
      </c>
      <c r="L468" s="3177">
        <v>466</v>
      </c>
      <c r="M468" s="3175">
        <v>-10439</v>
      </c>
      <c r="N468" s="3175" t="s">
        <v>3423</v>
      </c>
      <c r="O468" s="3176">
        <v>23.43</v>
      </c>
      <c r="P468" s="3176">
        <v>7.38</v>
      </c>
    </row>
    <row r="469" spans="1:16" ht="15" thickBot="1">
      <c r="A469" s="3174">
        <v>467</v>
      </c>
      <c r="B469" s="3175" t="s">
        <v>3897</v>
      </c>
      <c r="C469" s="3176">
        <v>88.88</v>
      </c>
      <c r="D469" s="3176">
        <v>27.98</v>
      </c>
      <c r="F469" s="3177">
        <v>467</v>
      </c>
      <c r="G469" s="3175" t="s">
        <v>3869</v>
      </c>
      <c r="H469" s="3178">
        <v>-2029</v>
      </c>
      <c r="I469" s="3179">
        <v>6.81</v>
      </c>
      <c r="J469" s="3179">
        <v>2.14</v>
      </c>
      <c r="L469" s="3177">
        <v>467</v>
      </c>
      <c r="M469" s="3175">
        <v>-10440</v>
      </c>
      <c r="N469" s="3175" t="s">
        <v>3423</v>
      </c>
      <c r="O469" s="3176">
        <v>23.43</v>
      </c>
      <c r="P469" s="3176">
        <v>7.38</v>
      </c>
    </row>
    <row r="470" spans="1:16" ht="15" thickBot="1">
      <c r="A470" s="3174">
        <v>468</v>
      </c>
      <c r="B470" s="3175" t="s">
        <v>3898</v>
      </c>
      <c r="C470" s="3176">
        <v>112.33</v>
      </c>
      <c r="D470" s="3176">
        <v>35.369999999999997</v>
      </c>
      <c r="F470" s="3177">
        <v>468</v>
      </c>
      <c r="G470" s="3175" t="s">
        <v>3869</v>
      </c>
      <c r="H470" s="3178">
        <v>-2030</v>
      </c>
      <c r="I470" s="3179">
        <v>7.78</v>
      </c>
      <c r="J470" s="3179">
        <v>2.4500000000000002</v>
      </c>
      <c r="L470" s="3177">
        <v>468</v>
      </c>
      <c r="M470" s="3175">
        <v>-10441</v>
      </c>
      <c r="N470" s="3175" t="s">
        <v>3423</v>
      </c>
      <c r="O470" s="3176">
        <v>23.43</v>
      </c>
      <c r="P470" s="3176">
        <v>7.38</v>
      </c>
    </row>
    <row r="471" spans="1:16" ht="15" thickBot="1">
      <c r="A471" s="3174">
        <v>469</v>
      </c>
      <c r="B471" s="3175" t="s">
        <v>3899</v>
      </c>
      <c r="C471" s="3176">
        <v>89.16</v>
      </c>
      <c r="D471" s="3176">
        <v>28.07</v>
      </c>
      <c r="F471" s="3177">
        <v>469</v>
      </c>
      <c r="G471" s="3175" t="s">
        <v>3869</v>
      </c>
      <c r="H471" s="3178">
        <v>-2031</v>
      </c>
      <c r="I471" s="3179">
        <v>7.55</v>
      </c>
      <c r="J471" s="3179">
        <v>2.38</v>
      </c>
      <c r="L471" s="3177">
        <v>469</v>
      </c>
      <c r="M471" s="3175">
        <v>-10442</v>
      </c>
      <c r="N471" s="3175" t="s">
        <v>3423</v>
      </c>
      <c r="O471" s="3176">
        <v>23.43</v>
      </c>
      <c r="P471" s="3176">
        <v>7.38</v>
      </c>
    </row>
    <row r="472" spans="1:16" ht="15" thickBot="1">
      <c r="A472" s="3174">
        <v>470</v>
      </c>
      <c r="B472" s="3175" t="s">
        <v>3900</v>
      </c>
      <c r="C472" s="3176">
        <v>88.88</v>
      </c>
      <c r="D472" s="3176">
        <v>27.98</v>
      </c>
      <c r="F472" s="3177">
        <v>470</v>
      </c>
      <c r="G472" s="3175" t="s">
        <v>3869</v>
      </c>
      <c r="H472" s="3178">
        <v>-2032</v>
      </c>
      <c r="I472" s="3179">
        <v>8</v>
      </c>
      <c r="J472" s="3179">
        <v>2.52</v>
      </c>
      <c r="L472" s="3177">
        <v>470</v>
      </c>
      <c r="M472" s="3175">
        <v>-10443</v>
      </c>
      <c r="N472" s="3175" t="s">
        <v>3423</v>
      </c>
      <c r="O472" s="3176">
        <v>23.43</v>
      </c>
      <c r="P472" s="3176">
        <v>7.38</v>
      </c>
    </row>
    <row r="473" spans="1:16" ht="15" thickBot="1">
      <c r="A473" s="3174">
        <v>471</v>
      </c>
      <c r="B473" s="3175" t="s">
        <v>3901</v>
      </c>
      <c r="C473" s="3176">
        <v>88.88</v>
      </c>
      <c r="D473" s="3176">
        <v>27.98</v>
      </c>
      <c r="F473" s="3177">
        <v>471</v>
      </c>
      <c r="G473" s="3175" t="s">
        <v>3869</v>
      </c>
      <c r="H473" s="3178">
        <v>-2033</v>
      </c>
      <c r="I473" s="3179">
        <v>10.4</v>
      </c>
      <c r="J473" s="3179">
        <v>3.27</v>
      </c>
      <c r="L473" s="3177">
        <v>471</v>
      </c>
      <c r="M473" s="3175">
        <v>-10444</v>
      </c>
      <c r="N473" s="3175" t="s">
        <v>3423</v>
      </c>
      <c r="O473" s="3176">
        <v>23.43</v>
      </c>
      <c r="P473" s="3176">
        <v>7.38</v>
      </c>
    </row>
    <row r="474" spans="1:16" ht="15" thickBot="1">
      <c r="A474" s="3174">
        <v>472</v>
      </c>
      <c r="B474" s="3175" t="s">
        <v>3902</v>
      </c>
      <c r="C474" s="3176">
        <v>112.33</v>
      </c>
      <c r="D474" s="3176">
        <v>35.369999999999997</v>
      </c>
      <c r="F474" s="3177">
        <v>472</v>
      </c>
      <c r="G474" s="3175" t="s">
        <v>3869</v>
      </c>
      <c r="H474" s="3178">
        <v>-2034</v>
      </c>
      <c r="I474" s="3179">
        <v>8.33</v>
      </c>
      <c r="J474" s="3179">
        <v>2.62</v>
      </c>
      <c r="L474" s="3177">
        <v>472</v>
      </c>
      <c r="M474" s="3175">
        <v>-10445</v>
      </c>
      <c r="N474" s="3175" t="s">
        <v>3423</v>
      </c>
      <c r="O474" s="3176">
        <v>23.43</v>
      </c>
      <c r="P474" s="3176">
        <v>7.38</v>
      </c>
    </row>
    <row r="475" spans="1:16" ht="15" thickBot="1">
      <c r="A475" s="3174">
        <v>473</v>
      </c>
      <c r="B475" s="3175" t="s">
        <v>3903</v>
      </c>
      <c r="C475" s="3176">
        <v>89.16</v>
      </c>
      <c r="D475" s="3176">
        <v>28.07</v>
      </c>
      <c r="F475" s="3177">
        <v>473</v>
      </c>
      <c r="G475" s="3175" t="s">
        <v>3869</v>
      </c>
      <c r="H475" s="3178">
        <v>-2035</v>
      </c>
      <c r="I475" s="3179">
        <v>8.57</v>
      </c>
      <c r="J475" s="3179">
        <v>2.7</v>
      </c>
      <c r="L475" s="3177">
        <v>473</v>
      </c>
      <c r="M475" s="3175">
        <v>-10446</v>
      </c>
      <c r="N475" s="3175" t="s">
        <v>3423</v>
      </c>
      <c r="O475" s="3176">
        <v>23.43</v>
      </c>
      <c r="P475" s="3176">
        <v>7.38</v>
      </c>
    </row>
    <row r="476" spans="1:16" ht="15" thickBot="1">
      <c r="A476" s="3174">
        <v>474</v>
      </c>
      <c r="B476" s="3175" t="s">
        <v>3904</v>
      </c>
      <c r="C476" s="3176">
        <v>88.88</v>
      </c>
      <c r="D476" s="3176">
        <v>27.98</v>
      </c>
      <c r="F476" s="3177">
        <v>474</v>
      </c>
      <c r="G476" s="3175" t="s">
        <v>3869</v>
      </c>
      <c r="H476" s="3178">
        <v>-2036</v>
      </c>
      <c r="I476" s="3179">
        <v>8.44</v>
      </c>
      <c r="J476" s="3179">
        <v>2.66</v>
      </c>
      <c r="L476" s="3177">
        <v>474</v>
      </c>
      <c r="M476" s="3175">
        <v>-10447</v>
      </c>
      <c r="N476" s="3175" t="s">
        <v>3423</v>
      </c>
      <c r="O476" s="3176">
        <v>23.43</v>
      </c>
      <c r="P476" s="3176">
        <v>7.38</v>
      </c>
    </row>
    <row r="477" spans="1:16" ht="15" thickBot="1">
      <c r="A477" s="3174">
        <v>475</v>
      </c>
      <c r="B477" s="3175" t="s">
        <v>3905</v>
      </c>
      <c r="C477" s="3176">
        <v>88.88</v>
      </c>
      <c r="D477" s="3176">
        <v>27.98</v>
      </c>
      <c r="F477" s="3177">
        <v>475</v>
      </c>
      <c r="G477" s="3175" t="s">
        <v>3869</v>
      </c>
      <c r="H477" s="3178">
        <v>-2037</v>
      </c>
      <c r="I477" s="3179">
        <v>7.92</v>
      </c>
      <c r="J477" s="3179">
        <v>2.4900000000000002</v>
      </c>
      <c r="L477" s="3177">
        <v>475</v>
      </c>
      <c r="M477" s="3175">
        <v>-10448</v>
      </c>
      <c r="N477" s="3175" t="s">
        <v>3423</v>
      </c>
      <c r="O477" s="3176">
        <v>23.43</v>
      </c>
      <c r="P477" s="3176">
        <v>7.38</v>
      </c>
    </row>
    <row r="478" spans="1:16" ht="15" thickBot="1">
      <c r="A478" s="3174">
        <v>476</v>
      </c>
      <c r="B478" s="3175" t="s">
        <v>3906</v>
      </c>
      <c r="C478" s="3176">
        <v>112.33</v>
      </c>
      <c r="D478" s="3176">
        <v>35.369999999999997</v>
      </c>
      <c r="F478" s="3177">
        <v>476</v>
      </c>
      <c r="G478" s="3175" t="s">
        <v>3869</v>
      </c>
      <c r="H478" s="3178">
        <v>-2038</v>
      </c>
      <c r="I478" s="3179">
        <v>7.92</v>
      </c>
      <c r="J478" s="3179">
        <v>2.4900000000000002</v>
      </c>
      <c r="L478" s="3177">
        <v>476</v>
      </c>
      <c r="M478" s="3175">
        <v>-10449</v>
      </c>
      <c r="N478" s="3175" t="s">
        <v>3423</v>
      </c>
      <c r="O478" s="3176">
        <v>23.43</v>
      </c>
      <c r="P478" s="3176">
        <v>7.38</v>
      </c>
    </row>
    <row r="479" spans="1:16" ht="15" thickBot="1">
      <c r="A479" s="3174">
        <v>477</v>
      </c>
      <c r="B479" s="3175" t="s">
        <v>3907</v>
      </c>
      <c r="C479" s="3176">
        <v>89.16</v>
      </c>
      <c r="D479" s="3176">
        <v>28.07</v>
      </c>
      <c r="F479" s="3177">
        <v>477</v>
      </c>
      <c r="G479" s="3175" t="s">
        <v>3869</v>
      </c>
      <c r="H479" s="3178">
        <v>-2039</v>
      </c>
      <c r="I479" s="3179">
        <v>8.23</v>
      </c>
      <c r="J479" s="3179">
        <v>2.59</v>
      </c>
      <c r="L479" s="3177">
        <v>477</v>
      </c>
      <c r="M479" s="3175">
        <v>-10450</v>
      </c>
      <c r="N479" s="3175" t="s">
        <v>3423</v>
      </c>
      <c r="O479" s="3176">
        <v>23.43</v>
      </c>
      <c r="P479" s="3176">
        <v>7.38</v>
      </c>
    </row>
    <row r="480" spans="1:16" ht="15" thickBot="1">
      <c r="A480" s="3174">
        <v>478</v>
      </c>
      <c r="B480" s="3175" t="s">
        <v>3908</v>
      </c>
      <c r="C480" s="3176">
        <v>88.88</v>
      </c>
      <c r="D480" s="3176">
        <v>27.98</v>
      </c>
      <c r="F480" s="3177">
        <v>478</v>
      </c>
      <c r="G480" s="3175" t="s">
        <v>3869</v>
      </c>
      <c r="H480" s="3178">
        <v>-2040</v>
      </c>
      <c r="I480" s="3179">
        <v>7.31</v>
      </c>
      <c r="J480" s="3179">
        <v>2.2999999999999998</v>
      </c>
      <c r="L480" s="3177">
        <v>478</v>
      </c>
      <c r="M480" s="3175">
        <v>-10451</v>
      </c>
      <c r="N480" s="3175" t="s">
        <v>3423</v>
      </c>
      <c r="O480" s="3176">
        <v>23.43</v>
      </c>
      <c r="P480" s="3176">
        <v>7.38</v>
      </c>
    </row>
    <row r="481" spans="1:16" ht="15" thickBot="1">
      <c r="A481" s="3174">
        <v>479</v>
      </c>
      <c r="B481" s="3175" t="s">
        <v>3909</v>
      </c>
      <c r="C481" s="3176">
        <v>88.88</v>
      </c>
      <c r="D481" s="3176">
        <v>27.98</v>
      </c>
      <c r="F481" s="3177">
        <v>479</v>
      </c>
      <c r="G481" s="3175" t="s">
        <v>3869</v>
      </c>
      <c r="H481" s="3178">
        <v>-2041</v>
      </c>
      <c r="I481" s="3179">
        <v>7.01</v>
      </c>
      <c r="J481" s="3179">
        <v>2.21</v>
      </c>
      <c r="L481" s="3177">
        <v>479</v>
      </c>
      <c r="M481" s="3175">
        <v>-10452</v>
      </c>
      <c r="N481" s="3175" t="s">
        <v>3423</v>
      </c>
      <c r="O481" s="3176">
        <v>23.43</v>
      </c>
      <c r="P481" s="3176">
        <v>7.38</v>
      </c>
    </row>
    <row r="482" spans="1:16" ht="15" thickBot="1">
      <c r="A482" s="3174">
        <v>480</v>
      </c>
      <c r="B482" s="3175" t="s">
        <v>3910</v>
      </c>
      <c r="C482" s="3176">
        <v>112.33</v>
      </c>
      <c r="D482" s="3176">
        <v>35.369999999999997</v>
      </c>
      <c r="F482" s="3177">
        <v>480</v>
      </c>
      <c r="G482" s="3175" t="s">
        <v>3869</v>
      </c>
      <c r="H482" s="3178">
        <v>-2042</v>
      </c>
      <c r="I482" s="3179">
        <v>7.01</v>
      </c>
      <c r="J482" s="3179">
        <v>2.21</v>
      </c>
      <c r="L482" s="3177">
        <v>480</v>
      </c>
      <c r="M482" s="3175">
        <v>-10453</v>
      </c>
      <c r="N482" s="3175" t="s">
        <v>3423</v>
      </c>
      <c r="O482" s="3176">
        <v>23.43</v>
      </c>
      <c r="P482" s="3176">
        <v>7.38</v>
      </c>
    </row>
    <row r="483" spans="1:16" ht="15" thickBot="1">
      <c r="A483" s="3174">
        <v>481</v>
      </c>
      <c r="B483" s="3175" t="s">
        <v>3911</v>
      </c>
      <c r="C483" s="3176">
        <v>89.16</v>
      </c>
      <c r="D483" s="3176">
        <v>28.07</v>
      </c>
      <c r="F483" s="3177">
        <v>481</v>
      </c>
      <c r="G483" s="3175" t="s">
        <v>3869</v>
      </c>
      <c r="H483" s="3178">
        <v>-2043</v>
      </c>
      <c r="I483" s="3179">
        <v>7.22</v>
      </c>
      <c r="J483" s="3179">
        <v>2.27</v>
      </c>
      <c r="L483" s="3177">
        <v>481</v>
      </c>
      <c r="M483" s="3175">
        <v>-10454</v>
      </c>
      <c r="N483" s="3175" t="s">
        <v>3423</v>
      </c>
      <c r="O483" s="3176">
        <v>23.43</v>
      </c>
      <c r="P483" s="3176">
        <v>7.38</v>
      </c>
    </row>
    <row r="484" spans="1:16" ht="15" thickBot="1">
      <c r="A484" s="3174">
        <v>482</v>
      </c>
      <c r="B484" s="3175" t="s">
        <v>3912</v>
      </c>
      <c r="C484" s="3176">
        <v>88.88</v>
      </c>
      <c r="D484" s="3176">
        <v>27.98</v>
      </c>
      <c r="F484" s="3177">
        <v>482</v>
      </c>
      <c r="G484" s="3175" t="s">
        <v>3869</v>
      </c>
      <c r="H484" s="3178">
        <v>-2044</v>
      </c>
      <c r="I484" s="3179">
        <v>8.44</v>
      </c>
      <c r="J484" s="3179">
        <v>2.66</v>
      </c>
      <c r="L484" s="3177">
        <v>482</v>
      </c>
      <c r="M484" s="3175">
        <v>-10455</v>
      </c>
      <c r="N484" s="3175" t="s">
        <v>3423</v>
      </c>
      <c r="O484" s="3176">
        <v>23.43</v>
      </c>
      <c r="P484" s="3176">
        <v>7.38</v>
      </c>
    </row>
    <row r="485" spans="1:16" ht="15" thickBot="1">
      <c r="A485" s="3174">
        <v>483</v>
      </c>
      <c r="B485" s="3175" t="s">
        <v>3913</v>
      </c>
      <c r="C485" s="3176">
        <v>88.88</v>
      </c>
      <c r="D485" s="3176">
        <v>27.98</v>
      </c>
      <c r="F485" s="3177">
        <v>483</v>
      </c>
      <c r="G485" s="3175" t="s">
        <v>3869</v>
      </c>
      <c r="H485" s="3178">
        <v>-2045</v>
      </c>
      <c r="I485" s="3179">
        <v>8.57</v>
      </c>
      <c r="J485" s="3179">
        <v>2.7</v>
      </c>
      <c r="L485" s="3177">
        <v>483</v>
      </c>
      <c r="M485" s="3175">
        <v>-10456</v>
      </c>
      <c r="N485" s="3175" t="s">
        <v>3423</v>
      </c>
      <c r="O485" s="3176">
        <v>23.43</v>
      </c>
      <c r="P485" s="3176">
        <v>7.38</v>
      </c>
    </row>
    <row r="486" spans="1:16" ht="15" thickBot="1">
      <c r="A486" s="3174">
        <v>484</v>
      </c>
      <c r="B486" s="3175" t="s">
        <v>3914</v>
      </c>
      <c r="C486" s="3176">
        <v>112.33</v>
      </c>
      <c r="D486" s="3176">
        <v>35.369999999999997</v>
      </c>
      <c r="F486" s="3177">
        <v>484</v>
      </c>
      <c r="G486" s="3175" t="s">
        <v>3869</v>
      </c>
      <c r="H486" s="3178">
        <v>-2046</v>
      </c>
      <c r="I486" s="3179">
        <v>8.44</v>
      </c>
      <c r="J486" s="3179">
        <v>2.66</v>
      </c>
      <c r="L486" s="3177">
        <v>484</v>
      </c>
      <c r="M486" s="3175">
        <v>-10457</v>
      </c>
      <c r="N486" s="3175" t="s">
        <v>3423</v>
      </c>
      <c r="O486" s="3176">
        <v>23.43</v>
      </c>
      <c r="P486" s="3176">
        <v>7.38</v>
      </c>
    </row>
    <row r="487" spans="1:16" ht="15" thickBot="1">
      <c r="A487" s="3174">
        <v>485</v>
      </c>
      <c r="B487" s="3175" t="s">
        <v>3915</v>
      </c>
      <c r="C487" s="3176">
        <v>89.16</v>
      </c>
      <c r="D487" s="3176">
        <v>28.07</v>
      </c>
      <c r="F487" s="3177">
        <v>485</v>
      </c>
      <c r="G487" s="3175" t="s">
        <v>3869</v>
      </c>
      <c r="H487" s="3178">
        <v>-2047</v>
      </c>
      <c r="I487" s="3179">
        <v>10.99</v>
      </c>
      <c r="J487" s="3179">
        <v>3.46</v>
      </c>
      <c r="L487" s="3177">
        <v>485</v>
      </c>
      <c r="M487" s="3175">
        <v>-10458</v>
      </c>
      <c r="N487" s="3175" t="s">
        <v>3423</v>
      </c>
      <c r="O487" s="3176">
        <v>23.43</v>
      </c>
      <c r="P487" s="3176">
        <v>7.38</v>
      </c>
    </row>
    <row r="488" spans="1:16" ht="15" thickBot="1">
      <c r="A488" s="3174">
        <v>486</v>
      </c>
      <c r="B488" s="3175" t="s">
        <v>3916</v>
      </c>
      <c r="C488" s="3176">
        <v>88.88</v>
      </c>
      <c r="D488" s="3176">
        <v>27.98</v>
      </c>
      <c r="F488" s="3177">
        <v>486</v>
      </c>
      <c r="G488" s="3175" t="s">
        <v>3869</v>
      </c>
      <c r="H488" s="3178">
        <v>-2048</v>
      </c>
      <c r="I488" s="3179">
        <v>8.26</v>
      </c>
      <c r="J488" s="3179">
        <v>2.6</v>
      </c>
      <c r="L488" s="3177">
        <v>486</v>
      </c>
      <c r="M488" s="3175">
        <v>-10459</v>
      </c>
      <c r="N488" s="3175" t="s">
        <v>3423</v>
      </c>
      <c r="O488" s="3176">
        <v>23.43</v>
      </c>
      <c r="P488" s="3176">
        <v>7.38</v>
      </c>
    </row>
    <row r="489" spans="1:16" ht="15" thickBot="1">
      <c r="A489" s="3174">
        <v>487</v>
      </c>
      <c r="B489" s="3175" t="s">
        <v>3917</v>
      </c>
      <c r="C489" s="3176">
        <v>88.88</v>
      </c>
      <c r="D489" s="3176">
        <v>27.98</v>
      </c>
      <c r="F489" s="3177">
        <v>487</v>
      </c>
      <c r="G489" s="3175" t="s">
        <v>3869</v>
      </c>
      <c r="H489" s="3178">
        <v>-2049</v>
      </c>
      <c r="I489" s="3179">
        <v>8.26</v>
      </c>
      <c r="J489" s="3179">
        <v>2.6</v>
      </c>
      <c r="L489" s="3177">
        <v>487</v>
      </c>
      <c r="M489" s="3175">
        <v>-10460</v>
      </c>
      <c r="N489" s="3175" t="s">
        <v>3423</v>
      </c>
      <c r="O489" s="3176">
        <v>23.43</v>
      </c>
      <c r="P489" s="3176">
        <v>7.38</v>
      </c>
    </row>
    <row r="490" spans="1:16" ht="15" thickBot="1">
      <c r="A490" s="3174">
        <v>488</v>
      </c>
      <c r="B490" s="3175" t="s">
        <v>3918</v>
      </c>
      <c r="C490" s="3176">
        <v>112.33</v>
      </c>
      <c r="D490" s="3176">
        <v>35.369999999999997</v>
      </c>
      <c r="F490" s="3177">
        <v>488</v>
      </c>
      <c r="G490" s="3175" t="s">
        <v>3869</v>
      </c>
      <c r="H490" s="3178">
        <v>-2050</v>
      </c>
      <c r="I490" s="3179">
        <v>14.52</v>
      </c>
      <c r="J490" s="3179">
        <v>4.57</v>
      </c>
      <c r="L490" s="3177">
        <v>488</v>
      </c>
      <c r="M490" s="3175">
        <v>-10461</v>
      </c>
      <c r="N490" s="3175" t="s">
        <v>3423</v>
      </c>
      <c r="O490" s="3176">
        <v>23.43</v>
      </c>
      <c r="P490" s="3176">
        <v>7.38</v>
      </c>
    </row>
    <row r="491" spans="1:16" ht="15" thickBot="1">
      <c r="A491" s="3174">
        <v>489</v>
      </c>
      <c r="B491" s="3175" t="s">
        <v>3919</v>
      </c>
      <c r="C491" s="3176">
        <v>89.16</v>
      </c>
      <c r="D491" s="3176">
        <v>28.07</v>
      </c>
      <c r="F491" s="3177">
        <v>489</v>
      </c>
      <c r="G491" s="3175" t="s">
        <v>3869</v>
      </c>
      <c r="H491" s="3178">
        <v>-2051</v>
      </c>
      <c r="I491" s="3179">
        <v>8.44</v>
      </c>
      <c r="J491" s="3179">
        <v>2.66</v>
      </c>
      <c r="L491" s="3177">
        <v>489</v>
      </c>
      <c r="M491" s="3175">
        <v>-10462</v>
      </c>
      <c r="N491" s="3175" t="s">
        <v>3423</v>
      </c>
      <c r="O491" s="3176">
        <v>23.43</v>
      </c>
      <c r="P491" s="3176">
        <v>7.38</v>
      </c>
    </row>
    <row r="492" spans="1:16" ht="15" thickBot="1">
      <c r="A492" s="3174">
        <v>490</v>
      </c>
      <c r="B492" s="3175" t="s">
        <v>3920</v>
      </c>
      <c r="C492" s="3176">
        <v>88.88</v>
      </c>
      <c r="D492" s="3176">
        <v>27.98</v>
      </c>
      <c r="F492" s="3177">
        <v>490</v>
      </c>
      <c r="G492" s="3175" t="s">
        <v>3869</v>
      </c>
      <c r="H492" s="3178">
        <v>-2052</v>
      </c>
      <c r="I492" s="3179">
        <v>14.43</v>
      </c>
      <c r="J492" s="3179">
        <v>4.54</v>
      </c>
      <c r="L492" s="3177">
        <v>490</v>
      </c>
      <c r="M492" s="3175">
        <v>-10463</v>
      </c>
      <c r="N492" s="3175" t="s">
        <v>3423</v>
      </c>
      <c r="O492" s="3176">
        <v>23.43</v>
      </c>
      <c r="P492" s="3176">
        <v>7.38</v>
      </c>
    </row>
    <row r="493" spans="1:16" ht="15" thickBot="1">
      <c r="A493" s="3174">
        <v>491</v>
      </c>
      <c r="B493" s="3175" t="s">
        <v>3921</v>
      </c>
      <c r="C493" s="3176">
        <v>88.88</v>
      </c>
      <c r="D493" s="3176">
        <v>27.98</v>
      </c>
      <c r="F493" s="3177">
        <v>491</v>
      </c>
      <c r="G493" s="3175" t="s">
        <v>3869</v>
      </c>
      <c r="H493" s="3178">
        <v>-2053</v>
      </c>
      <c r="I493" s="3179">
        <v>8.33</v>
      </c>
      <c r="J493" s="3179">
        <v>2.62</v>
      </c>
      <c r="L493" s="3177">
        <v>491</v>
      </c>
      <c r="M493" s="3175">
        <v>-10464</v>
      </c>
      <c r="N493" s="3175" t="s">
        <v>3423</v>
      </c>
      <c r="O493" s="3176">
        <v>23.43</v>
      </c>
      <c r="P493" s="3176">
        <v>7.38</v>
      </c>
    </row>
    <row r="494" spans="1:16" ht="15" thickBot="1">
      <c r="A494" s="3174">
        <v>492</v>
      </c>
      <c r="B494" s="3175" t="s">
        <v>3922</v>
      </c>
      <c r="C494" s="3176">
        <v>112.33</v>
      </c>
      <c r="D494" s="3176">
        <v>35.369999999999997</v>
      </c>
      <c r="F494" s="3177">
        <v>492</v>
      </c>
      <c r="G494" s="3175" t="s">
        <v>3869</v>
      </c>
      <c r="H494" s="3178">
        <v>-2054</v>
      </c>
      <c r="I494" s="3179">
        <v>5.96</v>
      </c>
      <c r="J494" s="3179">
        <v>1.88</v>
      </c>
      <c r="L494" s="3177">
        <v>492</v>
      </c>
      <c r="M494" s="3175">
        <v>-10465</v>
      </c>
      <c r="N494" s="3175" t="s">
        <v>3423</v>
      </c>
      <c r="O494" s="3176">
        <v>23.43</v>
      </c>
      <c r="P494" s="3176">
        <v>7.38</v>
      </c>
    </row>
    <row r="495" spans="1:16" ht="15" thickBot="1">
      <c r="A495" s="3174">
        <v>493</v>
      </c>
      <c r="B495" s="3175" t="s">
        <v>3923</v>
      </c>
      <c r="C495" s="3176">
        <v>112.33</v>
      </c>
      <c r="D495" s="3176">
        <v>35.369999999999997</v>
      </c>
      <c r="F495" s="3177">
        <v>493</v>
      </c>
      <c r="G495" s="3175" t="s">
        <v>3869</v>
      </c>
      <c r="H495" s="3178">
        <v>-2055</v>
      </c>
      <c r="I495" s="3179">
        <v>11.34</v>
      </c>
      <c r="J495" s="3179">
        <v>3.57</v>
      </c>
      <c r="L495" s="3177">
        <v>493</v>
      </c>
      <c r="M495" s="3175">
        <v>-10466</v>
      </c>
      <c r="N495" s="3175" t="s">
        <v>3423</v>
      </c>
      <c r="O495" s="3176">
        <v>23.43</v>
      </c>
      <c r="P495" s="3176">
        <v>7.38</v>
      </c>
    </row>
    <row r="496" spans="1:16" ht="15" thickBot="1">
      <c r="A496" s="3174">
        <v>494</v>
      </c>
      <c r="B496" s="3175" t="s">
        <v>3924</v>
      </c>
      <c r="C496" s="3176">
        <v>88.88</v>
      </c>
      <c r="D496" s="3176">
        <v>27.98</v>
      </c>
      <c r="F496" s="3177">
        <v>494</v>
      </c>
      <c r="G496" s="3175" t="s">
        <v>3869</v>
      </c>
      <c r="H496" s="3178">
        <v>-2056</v>
      </c>
      <c r="I496" s="3179">
        <v>11.34</v>
      </c>
      <c r="J496" s="3179">
        <v>3.57</v>
      </c>
      <c r="L496" s="3177">
        <v>494</v>
      </c>
      <c r="M496" s="3175">
        <v>-10467</v>
      </c>
      <c r="N496" s="3175" t="s">
        <v>3423</v>
      </c>
      <c r="O496" s="3176">
        <v>23.43</v>
      </c>
      <c r="P496" s="3176">
        <v>7.38</v>
      </c>
    </row>
    <row r="497" spans="1:16" ht="15" thickBot="1">
      <c r="A497" s="3174">
        <v>495</v>
      </c>
      <c r="B497" s="3175" t="s">
        <v>3925</v>
      </c>
      <c r="C497" s="3176">
        <v>88.88</v>
      </c>
      <c r="D497" s="3176">
        <v>27.98</v>
      </c>
      <c r="F497" s="3177">
        <v>495</v>
      </c>
      <c r="G497" s="3175" t="s">
        <v>3869</v>
      </c>
      <c r="H497" s="3178">
        <v>-2057</v>
      </c>
      <c r="I497" s="3179">
        <v>11.34</v>
      </c>
      <c r="J497" s="3179">
        <v>3.57</v>
      </c>
      <c r="L497" s="3177">
        <v>495</v>
      </c>
      <c r="M497" s="3175">
        <v>-10468</v>
      </c>
      <c r="N497" s="3175" t="s">
        <v>3423</v>
      </c>
      <c r="O497" s="3176">
        <v>23.43</v>
      </c>
      <c r="P497" s="3176">
        <v>7.38</v>
      </c>
    </row>
    <row r="498" spans="1:16" ht="15" thickBot="1">
      <c r="A498" s="3174">
        <v>496</v>
      </c>
      <c r="B498" s="3175" t="s">
        <v>3926</v>
      </c>
      <c r="C498" s="3176">
        <v>89.16</v>
      </c>
      <c r="D498" s="3176">
        <v>28.07</v>
      </c>
      <c r="F498" s="3177">
        <v>496</v>
      </c>
      <c r="G498" s="3175" t="s">
        <v>3869</v>
      </c>
      <c r="H498" s="3178">
        <v>-2058</v>
      </c>
      <c r="I498" s="3179">
        <v>10.99</v>
      </c>
      <c r="J498" s="3179">
        <v>3.46</v>
      </c>
      <c r="L498" s="3177">
        <v>496</v>
      </c>
      <c r="M498" s="3175">
        <v>-10469</v>
      </c>
      <c r="N498" s="3175" t="s">
        <v>3423</v>
      </c>
      <c r="O498" s="3176">
        <v>23.43</v>
      </c>
      <c r="P498" s="3176">
        <v>7.38</v>
      </c>
    </row>
    <row r="499" spans="1:16" ht="15" thickBot="1">
      <c r="A499" s="3174">
        <v>497</v>
      </c>
      <c r="B499" s="3175" t="s">
        <v>3927</v>
      </c>
      <c r="C499" s="3176">
        <v>112.33</v>
      </c>
      <c r="D499" s="3176">
        <v>35.369999999999997</v>
      </c>
      <c r="F499" s="3177">
        <v>497</v>
      </c>
      <c r="G499" s="3175" t="s">
        <v>3869</v>
      </c>
      <c r="H499" s="3178">
        <v>-2059</v>
      </c>
      <c r="I499" s="3179">
        <v>8.26</v>
      </c>
      <c r="J499" s="3179">
        <v>2.6</v>
      </c>
      <c r="L499" s="3177">
        <v>497</v>
      </c>
      <c r="M499" s="3175">
        <v>-10470</v>
      </c>
      <c r="N499" s="3175" t="s">
        <v>3423</v>
      </c>
      <c r="O499" s="3176">
        <v>23.43</v>
      </c>
      <c r="P499" s="3176">
        <v>7.38</v>
      </c>
    </row>
    <row r="500" spans="1:16" ht="15" thickBot="1">
      <c r="A500" s="3174">
        <v>498</v>
      </c>
      <c r="B500" s="3175" t="s">
        <v>3928</v>
      </c>
      <c r="C500" s="3176">
        <v>88.88</v>
      </c>
      <c r="D500" s="3176">
        <v>27.98</v>
      </c>
      <c r="F500" s="3177">
        <v>498</v>
      </c>
      <c r="G500" s="3175" t="s">
        <v>3869</v>
      </c>
      <c r="H500" s="3178">
        <v>-2060</v>
      </c>
      <c r="I500" s="3179">
        <v>8.26</v>
      </c>
      <c r="J500" s="3179">
        <v>2.6</v>
      </c>
      <c r="L500" s="3177">
        <v>498</v>
      </c>
      <c r="M500" s="3175">
        <v>-10471</v>
      </c>
      <c r="N500" s="3175" t="s">
        <v>3423</v>
      </c>
      <c r="O500" s="3176">
        <v>23.43</v>
      </c>
      <c r="P500" s="3176">
        <v>7.38</v>
      </c>
    </row>
    <row r="501" spans="1:16" ht="15" thickBot="1">
      <c r="A501" s="3174">
        <v>499</v>
      </c>
      <c r="B501" s="3175" t="s">
        <v>3929</v>
      </c>
      <c r="C501" s="3176">
        <v>88.88</v>
      </c>
      <c r="D501" s="3176">
        <v>27.98</v>
      </c>
      <c r="F501" s="3177">
        <v>499</v>
      </c>
      <c r="G501" s="3175" t="s">
        <v>3869</v>
      </c>
      <c r="H501" s="3178">
        <v>-2061</v>
      </c>
      <c r="I501" s="3179">
        <v>8.44</v>
      </c>
      <c r="J501" s="3179">
        <v>2.66</v>
      </c>
      <c r="L501" s="3177">
        <v>499</v>
      </c>
      <c r="M501" s="3175">
        <v>-10472</v>
      </c>
      <c r="N501" s="3175" t="s">
        <v>3423</v>
      </c>
      <c r="O501" s="3176">
        <v>23.43</v>
      </c>
      <c r="P501" s="3176">
        <v>7.38</v>
      </c>
    </row>
    <row r="502" spans="1:16" ht="15" thickBot="1">
      <c r="A502" s="3174">
        <v>500</v>
      </c>
      <c r="B502" s="3175" t="s">
        <v>3930</v>
      </c>
      <c r="C502" s="3176">
        <v>89.16</v>
      </c>
      <c r="D502" s="3176">
        <v>28.07</v>
      </c>
      <c r="F502" s="3177">
        <v>500</v>
      </c>
      <c r="G502" s="3175" t="s">
        <v>3869</v>
      </c>
      <c r="H502" s="3178">
        <v>-2062</v>
      </c>
      <c r="I502" s="3179">
        <v>8.57</v>
      </c>
      <c r="J502" s="3179">
        <v>2.7</v>
      </c>
      <c r="L502" s="3177">
        <v>500</v>
      </c>
      <c r="M502" s="3175">
        <v>-10473</v>
      </c>
      <c r="N502" s="3175" t="s">
        <v>3423</v>
      </c>
      <c r="O502" s="3176">
        <v>23.43</v>
      </c>
      <c r="P502" s="3176">
        <v>7.38</v>
      </c>
    </row>
    <row r="503" spans="1:16" ht="15" thickBot="1">
      <c r="A503" s="3174">
        <v>501</v>
      </c>
      <c r="B503" s="3175" t="s">
        <v>3931</v>
      </c>
      <c r="C503" s="3176">
        <v>112.33</v>
      </c>
      <c r="D503" s="3176">
        <v>35.369999999999997</v>
      </c>
      <c r="F503" s="3177">
        <v>501</v>
      </c>
      <c r="G503" s="3175" t="s">
        <v>3869</v>
      </c>
      <c r="H503" s="3178">
        <v>-2063</v>
      </c>
      <c r="I503" s="3179">
        <v>8.44</v>
      </c>
      <c r="J503" s="3179">
        <v>2.66</v>
      </c>
      <c r="L503" s="3177">
        <v>501</v>
      </c>
      <c r="M503" s="3175">
        <v>-10474</v>
      </c>
      <c r="N503" s="3175" t="s">
        <v>3423</v>
      </c>
      <c r="O503" s="3176">
        <v>23.43</v>
      </c>
      <c r="P503" s="3176">
        <v>7.38</v>
      </c>
    </row>
    <row r="504" spans="1:16" ht="15" thickBot="1">
      <c r="A504" s="3174">
        <v>502</v>
      </c>
      <c r="B504" s="3175" t="s">
        <v>3932</v>
      </c>
      <c r="C504" s="3176">
        <v>88.88</v>
      </c>
      <c r="D504" s="3176">
        <v>27.98</v>
      </c>
      <c r="F504" s="3177">
        <v>502</v>
      </c>
      <c r="G504" s="3175" t="s">
        <v>3869</v>
      </c>
      <c r="H504" s="3178">
        <v>-2064</v>
      </c>
      <c r="I504" s="3179">
        <v>8.44</v>
      </c>
      <c r="J504" s="3179">
        <v>2.66</v>
      </c>
      <c r="L504" s="3177">
        <v>502</v>
      </c>
      <c r="M504" s="3175">
        <v>-10475</v>
      </c>
      <c r="N504" s="3175" t="s">
        <v>3423</v>
      </c>
      <c r="O504" s="3176">
        <v>23.43</v>
      </c>
      <c r="P504" s="3176">
        <v>7.38</v>
      </c>
    </row>
    <row r="505" spans="1:16" ht="15" thickBot="1">
      <c r="A505" s="3174">
        <v>503</v>
      </c>
      <c r="B505" s="3175" t="s">
        <v>3933</v>
      </c>
      <c r="C505" s="3176">
        <v>88.88</v>
      </c>
      <c r="D505" s="3176">
        <v>27.98</v>
      </c>
      <c r="F505" s="3177">
        <v>503</v>
      </c>
      <c r="G505" s="3175" t="s">
        <v>3869</v>
      </c>
      <c r="H505" s="3178">
        <v>-2065</v>
      </c>
      <c r="I505" s="3179">
        <v>8.44</v>
      </c>
      <c r="J505" s="3179">
        <v>2.66</v>
      </c>
      <c r="L505" s="3177">
        <v>503</v>
      </c>
      <c r="M505" s="3175">
        <v>-10476</v>
      </c>
      <c r="N505" s="3175" t="s">
        <v>3423</v>
      </c>
      <c r="O505" s="3176">
        <v>23.43</v>
      </c>
      <c r="P505" s="3176">
        <v>7.38</v>
      </c>
    </row>
    <row r="506" spans="1:16" ht="15" thickBot="1">
      <c r="A506" s="3174">
        <v>504</v>
      </c>
      <c r="B506" s="3175" t="s">
        <v>3934</v>
      </c>
      <c r="C506" s="3176">
        <v>89.16</v>
      </c>
      <c r="D506" s="3176">
        <v>28.07</v>
      </c>
      <c r="F506" s="3177">
        <v>504</v>
      </c>
      <c r="G506" s="3175" t="s">
        <v>3869</v>
      </c>
      <c r="H506" s="3178">
        <v>-2066</v>
      </c>
      <c r="I506" s="3179">
        <v>7.31</v>
      </c>
      <c r="J506" s="3179">
        <v>2.2999999999999998</v>
      </c>
      <c r="L506" s="3177">
        <v>504</v>
      </c>
      <c r="M506" s="3175">
        <v>-10477</v>
      </c>
      <c r="N506" s="3175" t="s">
        <v>3423</v>
      </c>
      <c r="O506" s="3176">
        <v>23.43</v>
      </c>
      <c r="P506" s="3176">
        <v>7.38</v>
      </c>
    </row>
    <row r="507" spans="1:16" ht="15" thickBot="1">
      <c r="A507" s="3174">
        <v>505</v>
      </c>
      <c r="B507" s="3175" t="s">
        <v>3935</v>
      </c>
      <c r="C507" s="3176">
        <v>112.33</v>
      </c>
      <c r="D507" s="3176">
        <v>35.369999999999997</v>
      </c>
      <c r="F507" s="3177">
        <v>505</v>
      </c>
      <c r="G507" s="3175" t="s">
        <v>3869</v>
      </c>
      <c r="H507" s="3178">
        <v>-2067</v>
      </c>
      <c r="I507" s="3179">
        <v>7.31</v>
      </c>
      <c r="J507" s="3179">
        <v>2.2999999999999998</v>
      </c>
      <c r="L507" s="3177">
        <v>505</v>
      </c>
      <c r="M507" s="3175">
        <v>-10478</v>
      </c>
      <c r="N507" s="3175" t="s">
        <v>3423</v>
      </c>
      <c r="O507" s="3176">
        <v>23.43</v>
      </c>
      <c r="P507" s="3176">
        <v>7.38</v>
      </c>
    </row>
    <row r="508" spans="1:16" ht="15" thickBot="1">
      <c r="A508" s="3174">
        <v>506</v>
      </c>
      <c r="B508" s="3175" t="s">
        <v>3936</v>
      </c>
      <c r="C508" s="3176">
        <v>88.88</v>
      </c>
      <c r="D508" s="3176">
        <v>27.98</v>
      </c>
      <c r="F508" s="3177">
        <v>506</v>
      </c>
      <c r="G508" s="3175" t="s">
        <v>3869</v>
      </c>
      <c r="H508" s="3178">
        <v>-2068</v>
      </c>
      <c r="I508" s="3179">
        <v>8.44</v>
      </c>
      <c r="J508" s="3179">
        <v>2.66</v>
      </c>
      <c r="L508" s="3177">
        <v>506</v>
      </c>
      <c r="M508" s="3175">
        <v>-10479</v>
      </c>
      <c r="N508" s="3175" t="s">
        <v>3423</v>
      </c>
      <c r="O508" s="3176">
        <v>23.43</v>
      </c>
      <c r="P508" s="3176">
        <v>7.38</v>
      </c>
    </row>
    <row r="509" spans="1:16" ht="15" thickBot="1">
      <c r="A509" s="3174">
        <v>507</v>
      </c>
      <c r="B509" s="3175" t="s">
        <v>3937</v>
      </c>
      <c r="C509" s="3176">
        <v>88.88</v>
      </c>
      <c r="D509" s="3176">
        <v>27.98</v>
      </c>
      <c r="F509" s="3177">
        <v>507</v>
      </c>
      <c r="G509" s="3175" t="s">
        <v>3869</v>
      </c>
      <c r="H509" s="3178">
        <v>-2069</v>
      </c>
      <c r="I509" s="3179">
        <v>8.44</v>
      </c>
      <c r="J509" s="3179">
        <v>2.66</v>
      </c>
      <c r="L509" s="3177">
        <v>507</v>
      </c>
      <c r="M509" s="3175">
        <v>-10480</v>
      </c>
      <c r="N509" s="3175" t="s">
        <v>3423</v>
      </c>
      <c r="O509" s="3176">
        <v>23.43</v>
      </c>
      <c r="P509" s="3176">
        <v>7.38</v>
      </c>
    </row>
    <row r="510" spans="1:16" ht="15" thickBot="1">
      <c r="A510" s="3174">
        <v>508</v>
      </c>
      <c r="B510" s="3175" t="s">
        <v>3938</v>
      </c>
      <c r="C510" s="3176">
        <v>89.16</v>
      </c>
      <c r="D510" s="3176">
        <v>28.07</v>
      </c>
      <c r="F510" s="3177">
        <v>508</v>
      </c>
      <c r="G510" s="3175" t="s">
        <v>3869</v>
      </c>
      <c r="H510" s="3178">
        <v>-2070</v>
      </c>
      <c r="I510" s="3179">
        <v>8.44</v>
      </c>
      <c r="J510" s="3179">
        <v>2.66</v>
      </c>
      <c r="L510" s="3177">
        <v>508</v>
      </c>
      <c r="M510" s="3175">
        <v>-10481</v>
      </c>
      <c r="N510" s="3175" t="s">
        <v>3423</v>
      </c>
      <c r="O510" s="3176">
        <v>23.43</v>
      </c>
      <c r="P510" s="3176">
        <v>7.38</v>
      </c>
    </row>
    <row r="511" spans="1:16" ht="15" thickBot="1">
      <c r="A511" s="3174">
        <v>509</v>
      </c>
      <c r="B511" s="3175" t="s">
        <v>3939</v>
      </c>
      <c r="C511" s="3176">
        <v>112.33</v>
      </c>
      <c r="D511" s="3176">
        <v>35.369999999999997</v>
      </c>
      <c r="F511" s="3177">
        <v>509</v>
      </c>
      <c r="G511" s="3175" t="s">
        <v>3869</v>
      </c>
      <c r="H511" s="3178">
        <v>-2071</v>
      </c>
      <c r="I511" s="3179">
        <v>8.57</v>
      </c>
      <c r="J511" s="3179">
        <v>2.7</v>
      </c>
      <c r="L511" s="3177">
        <v>509</v>
      </c>
      <c r="M511" s="3175">
        <v>-10482</v>
      </c>
      <c r="N511" s="3175" t="s">
        <v>3423</v>
      </c>
      <c r="O511" s="3176">
        <v>23.43</v>
      </c>
      <c r="P511" s="3176">
        <v>7.38</v>
      </c>
    </row>
    <row r="512" spans="1:16" ht="15" thickBot="1">
      <c r="A512" s="3174">
        <v>510</v>
      </c>
      <c r="B512" s="3175" t="s">
        <v>3940</v>
      </c>
      <c r="C512" s="3176">
        <v>88.88</v>
      </c>
      <c r="D512" s="3176">
        <v>27.98</v>
      </c>
      <c r="F512" s="3177">
        <v>510</v>
      </c>
      <c r="G512" s="3175" t="s">
        <v>3869</v>
      </c>
      <c r="H512" s="3178">
        <v>-2072</v>
      </c>
      <c r="I512" s="3179">
        <v>8.44</v>
      </c>
      <c r="J512" s="3179">
        <v>2.66</v>
      </c>
      <c r="L512" s="3177">
        <v>510</v>
      </c>
      <c r="M512" s="3175">
        <v>-10483</v>
      </c>
      <c r="N512" s="3175" t="s">
        <v>3423</v>
      </c>
      <c r="O512" s="3176">
        <v>23.43</v>
      </c>
      <c r="P512" s="3176">
        <v>7.38</v>
      </c>
    </row>
    <row r="513" spans="1:16" ht="15" thickBot="1">
      <c r="A513" s="3174">
        <v>511</v>
      </c>
      <c r="B513" s="3175" t="s">
        <v>3941</v>
      </c>
      <c r="C513" s="3176">
        <v>88.88</v>
      </c>
      <c r="D513" s="3176">
        <v>27.98</v>
      </c>
      <c r="F513" s="3177">
        <v>511</v>
      </c>
      <c r="G513" s="3175" t="s">
        <v>3869</v>
      </c>
      <c r="H513" s="3178">
        <v>-2073</v>
      </c>
      <c r="I513" s="3179">
        <v>10.4</v>
      </c>
      <c r="J513" s="3179">
        <v>3.27</v>
      </c>
      <c r="L513" s="3177">
        <v>511</v>
      </c>
      <c r="M513" s="3175">
        <v>-10484</v>
      </c>
      <c r="N513" s="3175" t="s">
        <v>3423</v>
      </c>
      <c r="O513" s="3176">
        <v>23.43</v>
      </c>
      <c r="P513" s="3176">
        <v>7.38</v>
      </c>
    </row>
    <row r="514" spans="1:16" ht="15" thickBot="1">
      <c r="A514" s="3174">
        <v>512</v>
      </c>
      <c r="B514" s="3175" t="s">
        <v>3942</v>
      </c>
      <c r="C514" s="3176">
        <v>89.16</v>
      </c>
      <c r="D514" s="3176">
        <v>28.07</v>
      </c>
      <c r="F514" s="3177">
        <v>512</v>
      </c>
      <c r="G514" s="3175" t="s">
        <v>3869</v>
      </c>
      <c r="H514" s="3178">
        <v>-2074</v>
      </c>
      <c r="I514" s="3179">
        <v>8</v>
      </c>
      <c r="J514" s="3179">
        <v>2.52</v>
      </c>
      <c r="L514" s="3177">
        <v>512</v>
      </c>
      <c r="M514" s="3175">
        <v>-10485</v>
      </c>
      <c r="N514" s="3175" t="s">
        <v>3423</v>
      </c>
      <c r="O514" s="3176">
        <v>23.43</v>
      </c>
      <c r="P514" s="3176">
        <v>7.38</v>
      </c>
    </row>
    <row r="515" spans="1:16" ht="15" thickBot="1">
      <c r="A515" s="3174">
        <v>513</v>
      </c>
      <c r="B515" s="3175" t="s">
        <v>3943</v>
      </c>
      <c r="C515" s="3176">
        <v>112.33</v>
      </c>
      <c r="D515" s="3176">
        <v>35.369999999999997</v>
      </c>
      <c r="F515" s="3177">
        <v>513</v>
      </c>
      <c r="G515" s="3175" t="s">
        <v>3869</v>
      </c>
      <c r="H515" s="3178">
        <v>-2075</v>
      </c>
      <c r="I515" s="3179">
        <v>7.55</v>
      </c>
      <c r="J515" s="3179">
        <v>2.38</v>
      </c>
      <c r="L515" s="3177">
        <v>513</v>
      </c>
      <c r="M515" s="3175">
        <v>-10486</v>
      </c>
      <c r="N515" s="3175" t="s">
        <v>3423</v>
      </c>
      <c r="O515" s="3176">
        <v>23.43</v>
      </c>
      <c r="P515" s="3176">
        <v>7.38</v>
      </c>
    </row>
    <row r="516" spans="1:16" ht="15" thickBot="1">
      <c r="A516" s="3174">
        <v>514</v>
      </c>
      <c r="B516" s="3175" t="s">
        <v>3944</v>
      </c>
      <c r="C516" s="3176">
        <v>88.88</v>
      </c>
      <c r="D516" s="3176">
        <v>27.98</v>
      </c>
      <c r="F516" s="3177">
        <v>514</v>
      </c>
      <c r="G516" s="3175" t="s">
        <v>3869</v>
      </c>
      <c r="H516" s="3178">
        <v>-2076</v>
      </c>
      <c r="I516" s="3179">
        <v>7.78</v>
      </c>
      <c r="J516" s="3179">
        <v>2.4500000000000002</v>
      </c>
      <c r="L516" s="3177">
        <v>514</v>
      </c>
      <c r="M516" s="3175">
        <v>-10487</v>
      </c>
      <c r="N516" s="3175" t="s">
        <v>3423</v>
      </c>
      <c r="O516" s="3176">
        <v>23.43</v>
      </c>
      <c r="P516" s="3176">
        <v>7.38</v>
      </c>
    </row>
    <row r="517" spans="1:16" ht="15" thickBot="1">
      <c r="A517" s="3174">
        <v>515</v>
      </c>
      <c r="B517" s="3175" t="s">
        <v>3945</v>
      </c>
      <c r="C517" s="3176">
        <v>88.88</v>
      </c>
      <c r="D517" s="3176">
        <v>27.98</v>
      </c>
      <c r="F517" s="3177">
        <v>515</v>
      </c>
      <c r="G517" s="3175" t="s">
        <v>3946</v>
      </c>
      <c r="H517" s="3178">
        <v>-1001</v>
      </c>
      <c r="I517" s="3179">
        <v>8.01</v>
      </c>
      <c r="J517" s="3179">
        <v>2.52</v>
      </c>
      <c r="L517" s="3177">
        <v>515</v>
      </c>
      <c r="M517" s="3175">
        <v>-10488</v>
      </c>
      <c r="N517" s="3175" t="s">
        <v>3423</v>
      </c>
      <c r="O517" s="3176">
        <v>23.43</v>
      </c>
      <c r="P517" s="3176">
        <v>7.38</v>
      </c>
    </row>
    <row r="518" spans="1:16" ht="15" thickBot="1">
      <c r="A518" s="3174">
        <v>516</v>
      </c>
      <c r="B518" s="3175" t="s">
        <v>3947</v>
      </c>
      <c r="C518" s="3176">
        <v>89.16</v>
      </c>
      <c r="D518" s="3176">
        <v>28.07</v>
      </c>
      <c r="F518" s="3177">
        <v>516</v>
      </c>
      <c r="G518" s="3175" t="s">
        <v>3946</v>
      </c>
      <c r="H518" s="3178">
        <v>-1002</v>
      </c>
      <c r="I518" s="3179">
        <v>8.44</v>
      </c>
      <c r="J518" s="3179">
        <v>2.66</v>
      </c>
      <c r="L518" s="3177">
        <v>516</v>
      </c>
      <c r="M518" s="3175">
        <v>-10489</v>
      </c>
      <c r="N518" s="3175" t="s">
        <v>3423</v>
      </c>
      <c r="O518" s="3176">
        <v>23.43</v>
      </c>
      <c r="P518" s="3176">
        <v>7.38</v>
      </c>
    </row>
    <row r="519" spans="1:16" ht="15" thickBot="1">
      <c r="A519" s="3174">
        <v>517</v>
      </c>
      <c r="B519" s="3175" t="s">
        <v>3948</v>
      </c>
      <c r="C519" s="3176">
        <v>112.33</v>
      </c>
      <c r="D519" s="3176">
        <v>35.369999999999997</v>
      </c>
      <c r="F519" s="3177">
        <v>517</v>
      </c>
      <c r="G519" s="3175" t="s">
        <v>3946</v>
      </c>
      <c r="H519" s="3178">
        <v>-1003</v>
      </c>
      <c r="I519" s="3179">
        <v>12.5</v>
      </c>
      <c r="J519" s="3179">
        <v>3.94</v>
      </c>
      <c r="L519" s="3177">
        <v>517</v>
      </c>
      <c r="M519" s="3175">
        <v>-10490</v>
      </c>
      <c r="N519" s="3175" t="s">
        <v>3423</v>
      </c>
      <c r="O519" s="3176">
        <v>23.43</v>
      </c>
      <c r="P519" s="3176">
        <v>7.38</v>
      </c>
    </row>
    <row r="520" spans="1:16" ht="15" thickBot="1">
      <c r="A520" s="3174">
        <v>518</v>
      </c>
      <c r="B520" s="3175" t="s">
        <v>3949</v>
      </c>
      <c r="C520" s="3176">
        <v>88.88</v>
      </c>
      <c r="D520" s="3176">
        <v>27.98</v>
      </c>
      <c r="F520" s="3177">
        <v>518</v>
      </c>
      <c r="G520" s="3175" t="s">
        <v>3946</v>
      </c>
      <c r="H520" s="3178">
        <v>-1004</v>
      </c>
      <c r="I520" s="3179">
        <v>15.31</v>
      </c>
      <c r="J520" s="3179">
        <v>4.82</v>
      </c>
      <c r="L520" s="3177">
        <v>518</v>
      </c>
      <c r="M520" s="3175">
        <v>-10491</v>
      </c>
      <c r="N520" s="3175" t="s">
        <v>3423</v>
      </c>
      <c r="O520" s="3176">
        <v>23.43</v>
      </c>
      <c r="P520" s="3176">
        <v>7.38</v>
      </c>
    </row>
    <row r="521" spans="1:16" ht="15" thickBot="1">
      <c r="A521" s="3174">
        <v>519</v>
      </c>
      <c r="B521" s="3175" t="s">
        <v>3950</v>
      </c>
      <c r="C521" s="3176">
        <v>88.88</v>
      </c>
      <c r="D521" s="3176">
        <v>27.98</v>
      </c>
      <c r="F521" s="3177">
        <v>519</v>
      </c>
      <c r="G521" s="3175" t="s">
        <v>3946</v>
      </c>
      <c r="H521" s="3178">
        <v>-1005</v>
      </c>
      <c r="I521" s="3179">
        <v>14.79</v>
      </c>
      <c r="J521" s="3179">
        <v>4.66</v>
      </c>
      <c r="L521" s="3177">
        <v>519</v>
      </c>
      <c r="M521" s="3175">
        <v>-10492</v>
      </c>
      <c r="N521" s="3175" t="s">
        <v>3423</v>
      </c>
      <c r="O521" s="3176">
        <v>23.43</v>
      </c>
      <c r="P521" s="3176">
        <v>7.38</v>
      </c>
    </row>
    <row r="522" spans="1:16" ht="15" thickBot="1">
      <c r="A522" s="3174">
        <v>520</v>
      </c>
      <c r="B522" s="3175" t="s">
        <v>3951</v>
      </c>
      <c r="C522" s="3176">
        <v>89.16</v>
      </c>
      <c r="D522" s="3176">
        <v>28.07</v>
      </c>
      <c r="F522" s="3177">
        <v>520</v>
      </c>
      <c r="G522" s="3175" t="s">
        <v>3946</v>
      </c>
      <c r="H522" s="3178">
        <v>-1006</v>
      </c>
      <c r="I522" s="3179">
        <v>14.79</v>
      </c>
      <c r="J522" s="3179">
        <v>4.66</v>
      </c>
      <c r="L522" s="3177">
        <v>520</v>
      </c>
      <c r="M522" s="3175">
        <v>-10493</v>
      </c>
      <c r="N522" s="3175" t="s">
        <v>3423</v>
      </c>
      <c r="O522" s="3176">
        <v>23.43</v>
      </c>
      <c r="P522" s="3176">
        <v>7.38</v>
      </c>
    </row>
    <row r="523" spans="1:16" ht="15" thickBot="1">
      <c r="A523" s="3174">
        <v>521</v>
      </c>
      <c r="B523" s="3175" t="s">
        <v>3952</v>
      </c>
      <c r="C523" s="3176">
        <v>112.33</v>
      </c>
      <c r="D523" s="3176">
        <v>35.369999999999997</v>
      </c>
      <c r="F523" s="3177">
        <v>521</v>
      </c>
      <c r="G523" s="3175" t="s">
        <v>3946</v>
      </c>
      <c r="H523" s="3178">
        <v>-1007</v>
      </c>
      <c r="I523" s="3179">
        <v>14.79</v>
      </c>
      <c r="J523" s="3179">
        <v>4.66</v>
      </c>
      <c r="L523" s="3177">
        <v>521</v>
      </c>
      <c r="M523" s="3175">
        <v>-10494</v>
      </c>
      <c r="N523" s="3175" t="s">
        <v>3423</v>
      </c>
      <c r="O523" s="3176">
        <v>23.43</v>
      </c>
      <c r="P523" s="3176">
        <v>7.38</v>
      </c>
    </row>
    <row r="524" spans="1:16" ht="15" thickBot="1">
      <c r="A524" s="3174">
        <v>522</v>
      </c>
      <c r="B524" s="3175" t="s">
        <v>3953</v>
      </c>
      <c r="C524" s="3176">
        <v>88.88</v>
      </c>
      <c r="D524" s="3176">
        <v>27.98</v>
      </c>
      <c r="F524" s="3177">
        <v>522</v>
      </c>
      <c r="G524" s="3175" t="s">
        <v>3946</v>
      </c>
      <c r="H524" s="3178">
        <v>-1008</v>
      </c>
      <c r="I524" s="3179">
        <v>14.33</v>
      </c>
      <c r="J524" s="3179">
        <v>4.51</v>
      </c>
      <c r="L524" s="3177">
        <v>522</v>
      </c>
      <c r="M524" s="3175">
        <v>-10495</v>
      </c>
      <c r="N524" s="3175" t="s">
        <v>3423</v>
      </c>
      <c r="O524" s="3176">
        <v>23.43</v>
      </c>
      <c r="P524" s="3176">
        <v>7.38</v>
      </c>
    </row>
    <row r="525" spans="1:16" ht="15" thickBot="1">
      <c r="A525" s="3174">
        <v>523</v>
      </c>
      <c r="B525" s="3175" t="s">
        <v>3954</v>
      </c>
      <c r="C525" s="3176">
        <v>88.88</v>
      </c>
      <c r="D525" s="3176">
        <v>27.98</v>
      </c>
      <c r="F525" s="3177">
        <v>523</v>
      </c>
      <c r="G525" s="3175" t="s">
        <v>3946</v>
      </c>
      <c r="H525" s="3178">
        <v>-1009</v>
      </c>
      <c r="I525" s="3179">
        <v>14.79</v>
      </c>
      <c r="J525" s="3179">
        <v>4.66</v>
      </c>
      <c r="L525" s="3177">
        <v>523</v>
      </c>
      <c r="M525" s="3175">
        <v>-10496</v>
      </c>
      <c r="N525" s="3175" t="s">
        <v>3423</v>
      </c>
      <c r="O525" s="3176">
        <v>23.43</v>
      </c>
      <c r="P525" s="3176">
        <v>7.38</v>
      </c>
    </row>
    <row r="526" spans="1:16" ht="15" thickBot="1">
      <c r="A526" s="3174">
        <v>524</v>
      </c>
      <c r="B526" s="3175" t="s">
        <v>3955</v>
      </c>
      <c r="C526" s="3176">
        <v>89.16</v>
      </c>
      <c r="D526" s="3176">
        <v>28.07</v>
      </c>
      <c r="F526" s="3177">
        <v>524</v>
      </c>
      <c r="G526" s="3175" t="s">
        <v>3946</v>
      </c>
      <c r="H526" s="3178">
        <v>-1010</v>
      </c>
      <c r="I526" s="3179">
        <v>17.41</v>
      </c>
      <c r="J526" s="3179">
        <v>5.48</v>
      </c>
      <c r="L526" s="3177">
        <v>524</v>
      </c>
      <c r="M526" s="3175">
        <v>-10497</v>
      </c>
      <c r="N526" s="3175" t="s">
        <v>3423</v>
      </c>
      <c r="O526" s="3176">
        <v>23.43</v>
      </c>
      <c r="P526" s="3176">
        <v>7.38</v>
      </c>
    </row>
    <row r="527" spans="1:16" ht="15" thickBot="1">
      <c r="A527" s="3174">
        <v>525</v>
      </c>
      <c r="B527" s="3175" t="s">
        <v>3956</v>
      </c>
      <c r="C527" s="3176">
        <v>112.33</v>
      </c>
      <c r="D527" s="3176">
        <v>35.369999999999997</v>
      </c>
      <c r="F527" s="3177">
        <v>525</v>
      </c>
      <c r="G527" s="3175" t="s">
        <v>3946</v>
      </c>
      <c r="H527" s="3178">
        <v>-1011</v>
      </c>
      <c r="I527" s="3179">
        <v>17.170000000000002</v>
      </c>
      <c r="J527" s="3179">
        <v>5.41</v>
      </c>
      <c r="L527" s="3177">
        <v>525</v>
      </c>
      <c r="M527" s="3175">
        <v>-10498</v>
      </c>
      <c r="N527" s="3175" t="s">
        <v>3423</v>
      </c>
      <c r="O527" s="3176">
        <v>23.43</v>
      </c>
      <c r="P527" s="3176">
        <v>7.38</v>
      </c>
    </row>
    <row r="528" spans="1:16" ht="15" thickBot="1">
      <c r="A528" s="3174">
        <v>526</v>
      </c>
      <c r="B528" s="3175" t="s">
        <v>3957</v>
      </c>
      <c r="C528" s="3176">
        <v>88.88</v>
      </c>
      <c r="D528" s="3176">
        <v>27.98</v>
      </c>
      <c r="F528" s="3177">
        <v>526</v>
      </c>
      <c r="G528" s="3175" t="s">
        <v>3946</v>
      </c>
      <c r="H528" s="3178">
        <v>-1012</v>
      </c>
      <c r="I528" s="3179">
        <v>15.56</v>
      </c>
      <c r="J528" s="3179">
        <v>4.9000000000000004</v>
      </c>
      <c r="L528" s="3177">
        <v>526</v>
      </c>
      <c r="M528" s="3175">
        <v>-10499</v>
      </c>
      <c r="N528" s="3175" t="s">
        <v>3423</v>
      </c>
      <c r="O528" s="3176">
        <v>23.43</v>
      </c>
      <c r="P528" s="3176">
        <v>7.38</v>
      </c>
    </row>
    <row r="529" spans="1:16" ht="15" thickBot="1">
      <c r="A529" s="3174">
        <v>527</v>
      </c>
      <c r="B529" s="3175" t="s">
        <v>3958</v>
      </c>
      <c r="C529" s="3176">
        <v>88.88</v>
      </c>
      <c r="D529" s="3176">
        <v>27.98</v>
      </c>
      <c r="F529" s="3177">
        <v>527</v>
      </c>
      <c r="G529" s="3175" t="s">
        <v>3946</v>
      </c>
      <c r="H529" s="3178">
        <v>-1013</v>
      </c>
      <c r="I529" s="3179">
        <v>20.94</v>
      </c>
      <c r="J529" s="3179">
        <v>6.59</v>
      </c>
      <c r="L529" s="3177">
        <v>527</v>
      </c>
      <c r="M529" s="3175">
        <v>-10500</v>
      </c>
      <c r="N529" s="3175" t="s">
        <v>3423</v>
      </c>
      <c r="O529" s="3176">
        <v>23.43</v>
      </c>
      <c r="P529" s="3176">
        <v>7.38</v>
      </c>
    </row>
    <row r="530" spans="1:16" ht="15" thickBot="1">
      <c r="A530" s="3174">
        <v>528</v>
      </c>
      <c r="B530" s="3175" t="s">
        <v>3959</v>
      </c>
      <c r="C530" s="3176">
        <v>89.16</v>
      </c>
      <c r="D530" s="3176">
        <v>28.07</v>
      </c>
      <c r="F530" s="3177">
        <v>528</v>
      </c>
      <c r="G530" s="3175" t="s">
        <v>3946</v>
      </c>
      <c r="H530" s="3178">
        <v>-1014</v>
      </c>
      <c r="I530" s="3179">
        <v>9.74</v>
      </c>
      <c r="J530" s="3179">
        <v>3.07</v>
      </c>
      <c r="L530" s="3177">
        <v>528</v>
      </c>
      <c r="M530" s="3175">
        <v>-10501</v>
      </c>
      <c r="N530" s="3175" t="s">
        <v>3423</v>
      </c>
      <c r="O530" s="3176">
        <v>23.43</v>
      </c>
      <c r="P530" s="3176">
        <v>7.38</v>
      </c>
    </row>
    <row r="531" spans="1:16" ht="15" thickBot="1">
      <c r="A531" s="3174">
        <v>529</v>
      </c>
      <c r="B531" s="3175" t="s">
        <v>3960</v>
      </c>
      <c r="C531" s="3176">
        <v>112.33</v>
      </c>
      <c r="D531" s="3176">
        <v>35.369999999999997</v>
      </c>
      <c r="F531" s="3177">
        <v>529</v>
      </c>
      <c r="G531" s="3175" t="s">
        <v>3946</v>
      </c>
      <c r="H531" s="3178">
        <v>-1015</v>
      </c>
      <c r="I531" s="3179">
        <v>9.74</v>
      </c>
      <c r="J531" s="3179">
        <v>3.07</v>
      </c>
      <c r="L531" s="3177">
        <v>529</v>
      </c>
      <c r="M531" s="3175">
        <v>-10502</v>
      </c>
      <c r="N531" s="3175" t="s">
        <v>3423</v>
      </c>
      <c r="O531" s="3176">
        <v>23.43</v>
      </c>
      <c r="P531" s="3176">
        <v>7.38</v>
      </c>
    </row>
    <row r="532" spans="1:16" ht="15" thickBot="1">
      <c r="A532" s="3174">
        <v>530</v>
      </c>
      <c r="B532" s="3175" t="s">
        <v>3961</v>
      </c>
      <c r="C532" s="3176">
        <v>88.88</v>
      </c>
      <c r="D532" s="3176">
        <v>27.98</v>
      </c>
      <c r="F532" s="3177">
        <v>530</v>
      </c>
      <c r="G532" s="3175" t="s">
        <v>3946</v>
      </c>
      <c r="H532" s="3178">
        <v>-1016</v>
      </c>
      <c r="I532" s="3179">
        <v>11.68</v>
      </c>
      <c r="J532" s="3179">
        <v>3.68</v>
      </c>
      <c r="L532" s="3177">
        <v>530</v>
      </c>
      <c r="M532" s="3175">
        <v>-10503</v>
      </c>
      <c r="N532" s="3175" t="s">
        <v>3423</v>
      </c>
      <c r="O532" s="3176">
        <v>23.43</v>
      </c>
      <c r="P532" s="3176">
        <v>7.38</v>
      </c>
    </row>
    <row r="533" spans="1:16" ht="15" thickBot="1">
      <c r="A533" s="3174">
        <v>531</v>
      </c>
      <c r="B533" s="3175" t="s">
        <v>3962</v>
      </c>
      <c r="C533" s="3176">
        <v>88.88</v>
      </c>
      <c r="D533" s="3176">
        <v>27.98</v>
      </c>
      <c r="F533" s="3177">
        <v>531</v>
      </c>
      <c r="G533" s="3175" t="s">
        <v>3946</v>
      </c>
      <c r="H533" s="3178">
        <v>-1017</v>
      </c>
      <c r="I533" s="3179">
        <v>11.04</v>
      </c>
      <c r="J533" s="3179">
        <v>3.48</v>
      </c>
      <c r="L533" s="3177">
        <v>531</v>
      </c>
      <c r="M533" s="3175">
        <v>-10504</v>
      </c>
      <c r="N533" s="3175" t="s">
        <v>3423</v>
      </c>
      <c r="O533" s="3176">
        <v>23.43</v>
      </c>
      <c r="P533" s="3176">
        <v>7.38</v>
      </c>
    </row>
    <row r="534" spans="1:16" ht="15" thickBot="1">
      <c r="A534" s="3174">
        <v>532</v>
      </c>
      <c r="B534" s="3175" t="s">
        <v>3963</v>
      </c>
      <c r="C534" s="3176">
        <v>89.16</v>
      </c>
      <c r="D534" s="3176">
        <v>28.07</v>
      </c>
      <c r="F534" s="3177">
        <v>532</v>
      </c>
      <c r="G534" s="3175" t="s">
        <v>3946</v>
      </c>
      <c r="H534" s="3178">
        <v>-1018</v>
      </c>
      <c r="I534" s="3179">
        <v>11.37</v>
      </c>
      <c r="J534" s="3179">
        <v>3.58</v>
      </c>
      <c r="L534" s="3177">
        <v>532</v>
      </c>
      <c r="M534" s="3175">
        <v>-10505</v>
      </c>
      <c r="N534" s="3175" t="s">
        <v>3423</v>
      </c>
      <c r="O534" s="3176">
        <v>23.43</v>
      </c>
      <c r="P534" s="3176">
        <v>7.38</v>
      </c>
    </row>
    <row r="535" spans="1:16" ht="15" thickBot="1">
      <c r="A535" s="3174">
        <v>533</v>
      </c>
      <c r="B535" s="3175" t="s">
        <v>3964</v>
      </c>
      <c r="C535" s="3176">
        <v>112.33</v>
      </c>
      <c r="D535" s="3176">
        <v>35.369999999999997</v>
      </c>
      <c r="F535" s="3177">
        <v>533</v>
      </c>
      <c r="G535" s="3175" t="s">
        <v>3946</v>
      </c>
      <c r="H535" s="3178">
        <v>-1019</v>
      </c>
      <c r="I535" s="3179">
        <v>15.19</v>
      </c>
      <c r="J535" s="3179">
        <v>4.78</v>
      </c>
      <c r="L535" s="3177">
        <v>533</v>
      </c>
      <c r="M535" s="3175">
        <v>-10506</v>
      </c>
      <c r="N535" s="3175" t="s">
        <v>3423</v>
      </c>
      <c r="O535" s="3176">
        <v>23.43</v>
      </c>
      <c r="P535" s="3176">
        <v>7.38</v>
      </c>
    </row>
    <row r="536" spans="1:16" ht="15" thickBot="1">
      <c r="A536" s="3174">
        <v>534</v>
      </c>
      <c r="B536" s="3175" t="s">
        <v>3965</v>
      </c>
      <c r="C536" s="3176">
        <v>88.88</v>
      </c>
      <c r="D536" s="3176">
        <v>27.98</v>
      </c>
      <c r="F536" s="3177">
        <v>534</v>
      </c>
      <c r="G536" s="3175" t="s">
        <v>3946</v>
      </c>
      <c r="H536" s="3178">
        <v>-1020</v>
      </c>
      <c r="I536" s="3179">
        <v>13.2</v>
      </c>
      <c r="J536" s="3179">
        <v>4.16</v>
      </c>
      <c r="L536" s="3177">
        <v>534</v>
      </c>
      <c r="M536" s="3175">
        <v>-10507</v>
      </c>
      <c r="N536" s="3175" t="s">
        <v>3423</v>
      </c>
      <c r="O536" s="3176">
        <v>23.43</v>
      </c>
      <c r="P536" s="3176">
        <v>7.38</v>
      </c>
    </row>
    <row r="537" spans="1:16" ht="15" thickBot="1">
      <c r="A537" s="3174">
        <v>535</v>
      </c>
      <c r="B537" s="3175" t="s">
        <v>3966</v>
      </c>
      <c r="C537" s="3176">
        <v>88.88</v>
      </c>
      <c r="D537" s="3176">
        <v>27.98</v>
      </c>
      <c r="F537" s="3177">
        <v>535</v>
      </c>
      <c r="G537" s="3175" t="s">
        <v>3946</v>
      </c>
      <c r="H537" s="3178">
        <v>-1021</v>
      </c>
      <c r="I537" s="3179">
        <v>13.44</v>
      </c>
      <c r="J537" s="3179">
        <v>4.2300000000000004</v>
      </c>
      <c r="L537" s="3177">
        <v>535</v>
      </c>
      <c r="M537" s="3175">
        <v>-10508</v>
      </c>
      <c r="N537" s="3175" t="s">
        <v>3423</v>
      </c>
      <c r="O537" s="3176">
        <v>23.43</v>
      </c>
      <c r="P537" s="3176">
        <v>7.38</v>
      </c>
    </row>
    <row r="538" spans="1:16" ht="15" thickBot="1">
      <c r="A538" s="3174">
        <v>536</v>
      </c>
      <c r="B538" s="3175" t="s">
        <v>3967</v>
      </c>
      <c r="C538" s="3176">
        <v>89.16</v>
      </c>
      <c r="D538" s="3176">
        <v>28.07</v>
      </c>
      <c r="F538" s="3177">
        <v>536</v>
      </c>
      <c r="G538" s="3175" t="s">
        <v>3946</v>
      </c>
      <c r="H538" s="3178">
        <v>-1022</v>
      </c>
      <c r="I538" s="3179">
        <v>9.35</v>
      </c>
      <c r="J538" s="3179">
        <v>2.94</v>
      </c>
      <c r="L538" s="3177">
        <v>536</v>
      </c>
      <c r="M538" s="3175">
        <v>-10509</v>
      </c>
      <c r="N538" s="3175" t="s">
        <v>3423</v>
      </c>
      <c r="O538" s="3176">
        <v>23.43</v>
      </c>
      <c r="P538" s="3176">
        <v>7.38</v>
      </c>
    </row>
    <row r="539" spans="1:16" ht="15" thickBot="1">
      <c r="A539" s="3174">
        <v>537</v>
      </c>
      <c r="B539" s="3175" t="s">
        <v>3968</v>
      </c>
      <c r="C539" s="3176">
        <v>112.33</v>
      </c>
      <c r="D539" s="3176">
        <v>35.369999999999997</v>
      </c>
      <c r="F539" s="3177">
        <v>537</v>
      </c>
      <c r="G539" s="3175" t="s">
        <v>3946</v>
      </c>
      <c r="H539" s="3178">
        <v>-1023</v>
      </c>
      <c r="I539" s="3179">
        <v>9.35</v>
      </c>
      <c r="J539" s="3179">
        <v>2.94</v>
      </c>
      <c r="L539" s="3177">
        <v>537</v>
      </c>
      <c r="M539" s="3175">
        <v>-10510</v>
      </c>
      <c r="N539" s="3175" t="s">
        <v>3423</v>
      </c>
      <c r="O539" s="3176">
        <v>23.43</v>
      </c>
      <c r="P539" s="3176">
        <v>7.38</v>
      </c>
    </row>
    <row r="540" spans="1:16" ht="15" thickBot="1">
      <c r="A540" s="3174">
        <v>538</v>
      </c>
      <c r="B540" s="3175" t="s">
        <v>3969</v>
      </c>
      <c r="C540" s="3176">
        <v>88.88</v>
      </c>
      <c r="D540" s="3176">
        <v>27.98</v>
      </c>
      <c r="F540" s="3177">
        <v>538</v>
      </c>
      <c r="G540" s="3175" t="s">
        <v>3946</v>
      </c>
      <c r="H540" s="3178">
        <v>-1024</v>
      </c>
      <c r="I540" s="3179">
        <v>9.35</v>
      </c>
      <c r="J540" s="3179">
        <v>2.94</v>
      </c>
      <c r="L540" s="3177">
        <v>538</v>
      </c>
      <c r="M540" s="3175">
        <v>-10511</v>
      </c>
      <c r="N540" s="3175" t="s">
        <v>3423</v>
      </c>
      <c r="O540" s="3176">
        <v>23.43</v>
      </c>
      <c r="P540" s="3176">
        <v>7.38</v>
      </c>
    </row>
    <row r="541" spans="1:16" ht="15" thickBot="1">
      <c r="A541" s="3174">
        <v>539</v>
      </c>
      <c r="B541" s="3175" t="s">
        <v>3970</v>
      </c>
      <c r="C541" s="3176">
        <v>88.88</v>
      </c>
      <c r="D541" s="3176">
        <v>27.98</v>
      </c>
      <c r="F541" s="3177">
        <v>539</v>
      </c>
      <c r="G541" s="3175" t="s">
        <v>3946</v>
      </c>
      <c r="H541" s="3178">
        <v>-1025</v>
      </c>
      <c r="I541" s="3179">
        <v>9.35</v>
      </c>
      <c r="J541" s="3179">
        <v>2.94</v>
      </c>
      <c r="L541" s="3177">
        <v>539</v>
      </c>
      <c r="M541" s="3175">
        <v>-10512</v>
      </c>
      <c r="N541" s="3175" t="s">
        <v>3423</v>
      </c>
      <c r="O541" s="3176">
        <v>23.43</v>
      </c>
      <c r="P541" s="3176">
        <v>7.38</v>
      </c>
    </row>
    <row r="542" spans="1:16" ht="15" thickBot="1">
      <c r="A542" s="3174">
        <v>540</v>
      </c>
      <c r="B542" s="3175" t="s">
        <v>3971</v>
      </c>
      <c r="C542" s="3176">
        <v>89.16</v>
      </c>
      <c r="D542" s="3176">
        <v>28.07</v>
      </c>
      <c r="F542" s="3177">
        <v>540</v>
      </c>
      <c r="G542" s="3175" t="s">
        <v>3972</v>
      </c>
      <c r="H542" s="3178">
        <v>-1001</v>
      </c>
      <c r="I542" s="3179">
        <v>8.1199999999999992</v>
      </c>
      <c r="J542" s="3179">
        <v>2.56</v>
      </c>
      <c r="L542" s="3177">
        <v>540</v>
      </c>
      <c r="M542" s="3175">
        <v>-10513</v>
      </c>
      <c r="N542" s="3175" t="s">
        <v>3423</v>
      </c>
      <c r="O542" s="3176">
        <v>23.43</v>
      </c>
      <c r="P542" s="3176">
        <v>7.38</v>
      </c>
    </row>
    <row r="543" spans="1:16" ht="15" thickBot="1">
      <c r="A543" s="3174">
        <v>541</v>
      </c>
      <c r="B543" s="3175" t="s">
        <v>3973</v>
      </c>
      <c r="C543" s="3176">
        <v>112.33</v>
      </c>
      <c r="D543" s="3176">
        <v>35.369999999999997</v>
      </c>
      <c r="F543" s="3177">
        <v>541</v>
      </c>
      <c r="G543" s="3175" t="s">
        <v>3972</v>
      </c>
      <c r="H543" s="3178">
        <v>-1002</v>
      </c>
      <c r="I543" s="3179">
        <v>8.39</v>
      </c>
      <c r="J543" s="3179">
        <v>2.64</v>
      </c>
      <c r="L543" s="3177">
        <v>541</v>
      </c>
      <c r="M543" s="3175">
        <v>-10514</v>
      </c>
      <c r="N543" s="3175" t="s">
        <v>3423</v>
      </c>
      <c r="O543" s="3176">
        <v>23.43</v>
      </c>
      <c r="P543" s="3176">
        <v>7.38</v>
      </c>
    </row>
    <row r="544" spans="1:16" ht="15" thickBot="1">
      <c r="A544" s="3174">
        <v>542</v>
      </c>
      <c r="B544" s="3175" t="s">
        <v>3974</v>
      </c>
      <c r="C544" s="3176">
        <v>88.88</v>
      </c>
      <c r="D544" s="3176">
        <v>27.98</v>
      </c>
      <c r="F544" s="3177">
        <v>542</v>
      </c>
      <c r="G544" s="3175" t="s">
        <v>3972</v>
      </c>
      <c r="H544" s="3178">
        <v>-1003</v>
      </c>
      <c r="I544" s="3179">
        <v>12.53</v>
      </c>
      <c r="J544" s="3179">
        <v>3.94</v>
      </c>
      <c r="L544" s="3177">
        <v>542</v>
      </c>
      <c r="M544" s="3175">
        <v>-10515</v>
      </c>
      <c r="N544" s="3175" t="s">
        <v>3423</v>
      </c>
      <c r="O544" s="3176">
        <v>23.43</v>
      </c>
      <c r="P544" s="3176">
        <v>7.38</v>
      </c>
    </row>
    <row r="545" spans="1:16" ht="15" thickBot="1">
      <c r="A545" s="3174">
        <v>543</v>
      </c>
      <c r="B545" s="3175" t="s">
        <v>3975</v>
      </c>
      <c r="C545" s="3176">
        <v>88.88</v>
      </c>
      <c r="D545" s="3176">
        <v>27.98</v>
      </c>
      <c r="F545" s="3177">
        <v>543</v>
      </c>
      <c r="G545" s="3175" t="s">
        <v>3972</v>
      </c>
      <c r="H545" s="3178">
        <v>-1004</v>
      </c>
      <c r="I545" s="3179">
        <v>15.35</v>
      </c>
      <c r="J545" s="3179">
        <v>4.83</v>
      </c>
      <c r="L545" s="3177">
        <v>543</v>
      </c>
      <c r="M545" s="3175">
        <v>-10516</v>
      </c>
      <c r="N545" s="3175" t="s">
        <v>3423</v>
      </c>
      <c r="O545" s="3176">
        <v>23.43</v>
      </c>
      <c r="P545" s="3176">
        <v>7.38</v>
      </c>
    </row>
    <row r="546" spans="1:16" ht="15" thickBot="1">
      <c r="A546" s="3174">
        <v>544</v>
      </c>
      <c r="B546" s="3175" t="s">
        <v>3976</v>
      </c>
      <c r="C546" s="3176">
        <v>89.16</v>
      </c>
      <c r="D546" s="3176">
        <v>28.07</v>
      </c>
      <c r="F546" s="3177">
        <v>544</v>
      </c>
      <c r="G546" s="3175" t="s">
        <v>3972</v>
      </c>
      <c r="H546" s="3178">
        <v>-1005</v>
      </c>
      <c r="I546" s="3179">
        <v>14.92</v>
      </c>
      <c r="J546" s="3179">
        <v>4.7</v>
      </c>
      <c r="L546" s="3177">
        <v>544</v>
      </c>
      <c r="M546" s="3175">
        <v>-10517</v>
      </c>
      <c r="N546" s="3175" t="s">
        <v>3423</v>
      </c>
      <c r="O546" s="3176">
        <v>23.43</v>
      </c>
      <c r="P546" s="3176">
        <v>7.38</v>
      </c>
    </row>
    <row r="547" spans="1:16" ht="15" thickBot="1">
      <c r="A547" s="3174">
        <v>545</v>
      </c>
      <c r="B547" s="3175" t="s">
        <v>3977</v>
      </c>
      <c r="C547" s="3176">
        <v>112.33</v>
      </c>
      <c r="D547" s="3176">
        <v>35.369999999999997</v>
      </c>
      <c r="F547" s="3177">
        <v>545</v>
      </c>
      <c r="G547" s="3175" t="s">
        <v>3972</v>
      </c>
      <c r="H547" s="3178">
        <v>-1006</v>
      </c>
      <c r="I547" s="3179">
        <v>14.92</v>
      </c>
      <c r="J547" s="3179">
        <v>4.7</v>
      </c>
      <c r="L547" s="3177">
        <v>545</v>
      </c>
      <c r="M547" s="3175">
        <v>-10518</v>
      </c>
      <c r="N547" s="3175" t="s">
        <v>3423</v>
      </c>
      <c r="O547" s="3176">
        <v>23.43</v>
      </c>
      <c r="P547" s="3176">
        <v>7.38</v>
      </c>
    </row>
    <row r="548" spans="1:16" ht="15" thickBot="1">
      <c r="A548" s="3174">
        <v>546</v>
      </c>
      <c r="B548" s="3175" t="s">
        <v>3978</v>
      </c>
      <c r="C548" s="3176">
        <v>88.88</v>
      </c>
      <c r="D548" s="3176">
        <v>27.98</v>
      </c>
      <c r="F548" s="3177">
        <v>546</v>
      </c>
      <c r="G548" s="3175" t="s">
        <v>3972</v>
      </c>
      <c r="H548" s="3178">
        <v>-1007</v>
      </c>
      <c r="I548" s="3179">
        <v>14.92</v>
      </c>
      <c r="J548" s="3179">
        <v>4.7</v>
      </c>
      <c r="L548" s="3177">
        <v>546</v>
      </c>
      <c r="M548" s="3175">
        <v>-10519</v>
      </c>
      <c r="N548" s="3175" t="s">
        <v>3423</v>
      </c>
      <c r="O548" s="3176">
        <v>23.43</v>
      </c>
      <c r="P548" s="3176">
        <v>7.38</v>
      </c>
    </row>
    <row r="549" spans="1:16" ht="15" thickBot="1">
      <c r="A549" s="3174">
        <v>547</v>
      </c>
      <c r="B549" s="3175" t="s">
        <v>3979</v>
      </c>
      <c r="C549" s="3176">
        <v>88.88</v>
      </c>
      <c r="D549" s="3176">
        <v>27.98</v>
      </c>
      <c r="F549" s="3177">
        <v>547</v>
      </c>
      <c r="G549" s="3175" t="s">
        <v>3972</v>
      </c>
      <c r="H549" s="3178">
        <v>-1008</v>
      </c>
      <c r="I549" s="3179">
        <v>14.46</v>
      </c>
      <c r="J549" s="3179">
        <v>4.55</v>
      </c>
      <c r="L549" s="3177">
        <v>547</v>
      </c>
      <c r="M549" s="3175">
        <v>-10520</v>
      </c>
      <c r="N549" s="3175" t="s">
        <v>3423</v>
      </c>
      <c r="O549" s="3176">
        <v>23.43</v>
      </c>
      <c r="P549" s="3176">
        <v>7.38</v>
      </c>
    </row>
    <row r="550" spans="1:16" ht="15" thickBot="1">
      <c r="A550" s="3174">
        <v>548</v>
      </c>
      <c r="B550" s="3175" t="s">
        <v>3980</v>
      </c>
      <c r="C550" s="3176">
        <v>89.16</v>
      </c>
      <c r="D550" s="3176">
        <v>28.07</v>
      </c>
      <c r="F550" s="3177">
        <v>548</v>
      </c>
      <c r="G550" s="3175" t="s">
        <v>3972</v>
      </c>
      <c r="H550" s="3178">
        <v>-1009</v>
      </c>
      <c r="I550" s="3179">
        <v>14.92</v>
      </c>
      <c r="J550" s="3179">
        <v>4.7</v>
      </c>
      <c r="L550" s="3177">
        <v>548</v>
      </c>
      <c r="M550" s="3175">
        <v>-10521</v>
      </c>
      <c r="N550" s="3175" t="s">
        <v>3423</v>
      </c>
      <c r="O550" s="3176">
        <v>23.43</v>
      </c>
      <c r="P550" s="3176">
        <v>7.38</v>
      </c>
    </row>
    <row r="551" spans="1:16" ht="15" thickBot="1">
      <c r="A551" s="3174">
        <v>549</v>
      </c>
      <c r="B551" s="3175" t="s">
        <v>3981</v>
      </c>
      <c r="C551" s="3176">
        <v>112.33</v>
      </c>
      <c r="D551" s="3176">
        <v>35.369999999999997</v>
      </c>
      <c r="F551" s="3177">
        <v>549</v>
      </c>
      <c r="G551" s="3175" t="s">
        <v>3972</v>
      </c>
      <c r="H551" s="3178">
        <v>-1010</v>
      </c>
      <c r="I551" s="3179">
        <v>17.45</v>
      </c>
      <c r="J551" s="3179">
        <v>5.49</v>
      </c>
      <c r="L551" s="3177">
        <v>549</v>
      </c>
      <c r="M551" s="3175">
        <v>-10522</v>
      </c>
      <c r="N551" s="3175" t="s">
        <v>3423</v>
      </c>
      <c r="O551" s="3176">
        <v>23.43</v>
      </c>
      <c r="P551" s="3176">
        <v>7.38</v>
      </c>
    </row>
    <row r="552" spans="1:16" ht="15" thickBot="1">
      <c r="A552" s="3174">
        <v>550</v>
      </c>
      <c r="B552" s="3175" t="s">
        <v>3982</v>
      </c>
      <c r="C552" s="3176">
        <v>88.88</v>
      </c>
      <c r="D552" s="3176">
        <v>27.98</v>
      </c>
      <c r="F552" s="3177">
        <v>550</v>
      </c>
      <c r="G552" s="3175" t="s">
        <v>3972</v>
      </c>
      <c r="H552" s="3178">
        <v>-1011</v>
      </c>
      <c r="I552" s="3179">
        <v>17.21</v>
      </c>
      <c r="J552" s="3179">
        <v>5.42</v>
      </c>
      <c r="L552" s="3177">
        <v>550</v>
      </c>
      <c r="M552" s="3175">
        <v>-10523</v>
      </c>
      <c r="N552" s="3175" t="s">
        <v>3423</v>
      </c>
      <c r="O552" s="3176">
        <v>23.43</v>
      </c>
      <c r="P552" s="3176">
        <v>7.38</v>
      </c>
    </row>
    <row r="553" spans="1:16" ht="15" thickBot="1">
      <c r="A553" s="3174">
        <v>551</v>
      </c>
      <c r="B553" s="3175" t="s">
        <v>3983</v>
      </c>
      <c r="C553" s="3176">
        <v>88.88</v>
      </c>
      <c r="D553" s="3176">
        <v>27.98</v>
      </c>
      <c r="F553" s="3177">
        <v>551</v>
      </c>
      <c r="G553" s="3175" t="s">
        <v>3972</v>
      </c>
      <c r="H553" s="3178">
        <v>-1012</v>
      </c>
      <c r="I553" s="3179">
        <v>15.37</v>
      </c>
      <c r="J553" s="3179">
        <v>4.84</v>
      </c>
      <c r="L553" s="3177">
        <v>551</v>
      </c>
      <c r="M553" s="3175">
        <v>-10524</v>
      </c>
      <c r="N553" s="3175" t="s">
        <v>3423</v>
      </c>
      <c r="O553" s="3176">
        <v>23.43</v>
      </c>
      <c r="P553" s="3176">
        <v>7.38</v>
      </c>
    </row>
    <row r="554" spans="1:16" ht="15" thickBot="1">
      <c r="A554" s="3174">
        <v>552</v>
      </c>
      <c r="B554" s="3175" t="s">
        <v>3984</v>
      </c>
      <c r="C554" s="3176">
        <v>89.16</v>
      </c>
      <c r="D554" s="3176">
        <v>28.07</v>
      </c>
      <c r="F554" s="3177">
        <v>552</v>
      </c>
      <c r="G554" s="3175" t="s">
        <v>3972</v>
      </c>
      <c r="H554" s="3178">
        <v>-1013</v>
      </c>
      <c r="I554" s="3179">
        <v>21.21</v>
      </c>
      <c r="J554" s="3179">
        <v>6.68</v>
      </c>
      <c r="L554" s="3177">
        <v>552</v>
      </c>
      <c r="M554" s="3175">
        <v>-10525</v>
      </c>
      <c r="N554" s="3175" t="s">
        <v>3423</v>
      </c>
      <c r="O554" s="3176">
        <v>23.43</v>
      </c>
      <c r="P554" s="3176">
        <v>7.38</v>
      </c>
    </row>
    <row r="555" spans="1:16" ht="15" thickBot="1">
      <c r="A555" s="3174">
        <v>553</v>
      </c>
      <c r="B555" s="3175" t="s">
        <v>3985</v>
      </c>
      <c r="C555" s="3176">
        <v>89.11</v>
      </c>
      <c r="D555" s="3176">
        <v>28.06</v>
      </c>
      <c r="F555" s="3177">
        <v>553</v>
      </c>
      <c r="G555" s="3175" t="s">
        <v>3972</v>
      </c>
      <c r="H555" s="3178">
        <v>-1014</v>
      </c>
      <c r="I555" s="3179">
        <v>9.76</v>
      </c>
      <c r="J555" s="3179">
        <v>3.07</v>
      </c>
      <c r="L555" s="3177">
        <v>553</v>
      </c>
      <c r="M555" s="3175">
        <v>-10526</v>
      </c>
      <c r="N555" s="3175" t="s">
        <v>3423</v>
      </c>
      <c r="O555" s="3176">
        <v>23.43</v>
      </c>
      <c r="P555" s="3176">
        <v>7.38</v>
      </c>
    </row>
    <row r="556" spans="1:16" ht="15" thickBot="1">
      <c r="A556" s="3174">
        <v>554</v>
      </c>
      <c r="B556" s="3175" t="s">
        <v>3986</v>
      </c>
      <c r="C556" s="3176">
        <v>88.83</v>
      </c>
      <c r="D556" s="3176">
        <v>27.97</v>
      </c>
      <c r="F556" s="3177">
        <v>554</v>
      </c>
      <c r="G556" s="3175" t="s">
        <v>3972</v>
      </c>
      <c r="H556" s="3178">
        <v>-1015</v>
      </c>
      <c r="I556" s="3179">
        <v>9.49</v>
      </c>
      <c r="J556" s="3179">
        <v>2.99</v>
      </c>
      <c r="L556" s="3177">
        <v>554</v>
      </c>
      <c r="M556" s="3175">
        <v>-10527</v>
      </c>
      <c r="N556" s="3175" t="s">
        <v>3423</v>
      </c>
      <c r="O556" s="3176">
        <v>23.43</v>
      </c>
      <c r="P556" s="3176">
        <v>7.38</v>
      </c>
    </row>
    <row r="557" spans="1:16" ht="15" thickBot="1">
      <c r="A557" s="3174">
        <v>555</v>
      </c>
      <c r="B557" s="3175" t="s">
        <v>3987</v>
      </c>
      <c r="C557" s="3176">
        <v>88.83</v>
      </c>
      <c r="D557" s="3176">
        <v>27.97</v>
      </c>
      <c r="F557" s="3177">
        <v>555</v>
      </c>
      <c r="G557" s="3175" t="s">
        <v>3972</v>
      </c>
      <c r="H557" s="3178">
        <v>-1016</v>
      </c>
      <c r="I557" s="3179">
        <v>10.220000000000001</v>
      </c>
      <c r="J557" s="3179">
        <v>3.22</v>
      </c>
      <c r="L557" s="3177">
        <v>555</v>
      </c>
      <c r="M557" s="3175">
        <v>-10528</v>
      </c>
      <c r="N557" s="3175" t="s">
        <v>3423</v>
      </c>
      <c r="O557" s="3176">
        <v>23.43</v>
      </c>
      <c r="P557" s="3176">
        <v>7.38</v>
      </c>
    </row>
    <row r="558" spans="1:16" ht="15" thickBot="1">
      <c r="A558" s="3174">
        <v>556</v>
      </c>
      <c r="B558" s="3175" t="s">
        <v>3988</v>
      </c>
      <c r="C558" s="3176">
        <v>112.42</v>
      </c>
      <c r="D558" s="3176">
        <v>35.39</v>
      </c>
      <c r="F558" s="3177">
        <v>556</v>
      </c>
      <c r="G558" s="3175" t="s">
        <v>3972</v>
      </c>
      <c r="H558" s="3178">
        <v>-1017</v>
      </c>
      <c r="I558" s="3179">
        <v>10.53</v>
      </c>
      <c r="J558" s="3179">
        <v>3.32</v>
      </c>
      <c r="L558" s="3177">
        <v>556</v>
      </c>
      <c r="M558" s="3175">
        <v>-10529</v>
      </c>
      <c r="N558" s="3175" t="s">
        <v>3423</v>
      </c>
      <c r="O558" s="3176">
        <v>23.43</v>
      </c>
      <c r="P558" s="3176">
        <v>7.38</v>
      </c>
    </row>
    <row r="559" spans="1:16" ht="15" thickBot="1">
      <c r="A559" s="3174">
        <v>557</v>
      </c>
      <c r="B559" s="3175" t="s">
        <v>3989</v>
      </c>
      <c r="C559" s="3176">
        <v>89.11</v>
      </c>
      <c r="D559" s="3176">
        <v>28.06</v>
      </c>
      <c r="F559" s="3177">
        <v>557</v>
      </c>
      <c r="G559" s="3175" t="s">
        <v>3972</v>
      </c>
      <c r="H559" s="3178">
        <v>-1018</v>
      </c>
      <c r="I559" s="3179">
        <v>11.18</v>
      </c>
      <c r="J559" s="3179">
        <v>3.52</v>
      </c>
      <c r="L559" s="3177">
        <v>557</v>
      </c>
      <c r="M559" s="3175">
        <v>-10530</v>
      </c>
      <c r="N559" s="3175" t="s">
        <v>3423</v>
      </c>
      <c r="O559" s="3176">
        <v>23.43</v>
      </c>
      <c r="P559" s="3176">
        <v>7.38</v>
      </c>
    </row>
    <row r="560" spans="1:16" ht="15" thickBot="1">
      <c r="A560" s="3174">
        <v>558</v>
      </c>
      <c r="B560" s="3175" t="s">
        <v>3990</v>
      </c>
      <c r="C560" s="3176">
        <v>88.83</v>
      </c>
      <c r="D560" s="3176">
        <v>27.97</v>
      </c>
      <c r="F560" s="3177">
        <v>558</v>
      </c>
      <c r="G560" s="3175" t="s">
        <v>3972</v>
      </c>
      <c r="H560" s="3178">
        <v>-1019</v>
      </c>
      <c r="I560" s="3179">
        <v>15.23</v>
      </c>
      <c r="J560" s="3179">
        <v>4.79</v>
      </c>
      <c r="L560" s="3177">
        <v>558</v>
      </c>
      <c r="M560" s="3175">
        <v>-10531</v>
      </c>
      <c r="N560" s="3175" t="s">
        <v>3423</v>
      </c>
      <c r="O560" s="3176">
        <v>23.43</v>
      </c>
      <c r="P560" s="3176">
        <v>7.38</v>
      </c>
    </row>
    <row r="561" spans="1:16" ht="15" thickBot="1">
      <c r="A561" s="3174">
        <v>559</v>
      </c>
      <c r="B561" s="3175" t="s">
        <v>3991</v>
      </c>
      <c r="C561" s="3176">
        <v>88.83</v>
      </c>
      <c r="D561" s="3176">
        <v>27.97</v>
      </c>
      <c r="F561" s="3177">
        <v>559</v>
      </c>
      <c r="G561" s="3175" t="s">
        <v>3972</v>
      </c>
      <c r="H561" s="3178">
        <v>-1020</v>
      </c>
      <c r="I561" s="3179">
        <v>13.23</v>
      </c>
      <c r="J561" s="3179">
        <v>4.17</v>
      </c>
      <c r="L561" s="3177">
        <v>559</v>
      </c>
      <c r="M561" s="3175">
        <v>-10532</v>
      </c>
      <c r="N561" s="3175" t="s">
        <v>3423</v>
      </c>
      <c r="O561" s="3176">
        <v>23.43</v>
      </c>
      <c r="P561" s="3176">
        <v>7.38</v>
      </c>
    </row>
    <row r="562" spans="1:16" ht="15" thickBot="1">
      <c r="A562" s="3174">
        <v>560</v>
      </c>
      <c r="B562" s="3175" t="s">
        <v>3992</v>
      </c>
      <c r="C562" s="3176">
        <v>112.42</v>
      </c>
      <c r="D562" s="3176">
        <v>35.39</v>
      </c>
      <c r="F562" s="3177">
        <v>560</v>
      </c>
      <c r="G562" s="3175" t="s">
        <v>3972</v>
      </c>
      <c r="H562" s="3178">
        <v>-1021</v>
      </c>
      <c r="I562" s="3179">
        <v>13.47</v>
      </c>
      <c r="J562" s="3179">
        <v>4.24</v>
      </c>
      <c r="L562" s="3177">
        <v>560</v>
      </c>
      <c r="M562" s="3175">
        <v>-10533</v>
      </c>
      <c r="N562" s="3175" t="s">
        <v>3423</v>
      </c>
      <c r="O562" s="3176">
        <v>23.43</v>
      </c>
      <c r="P562" s="3176">
        <v>7.38</v>
      </c>
    </row>
    <row r="563" spans="1:16" ht="15" thickBot="1">
      <c r="A563" s="3174">
        <v>561</v>
      </c>
      <c r="B563" s="3175" t="s">
        <v>3993</v>
      </c>
      <c r="C563" s="3176">
        <v>89.11</v>
      </c>
      <c r="D563" s="3176">
        <v>28.06</v>
      </c>
      <c r="F563" s="3177">
        <v>561</v>
      </c>
      <c r="G563" s="3175" t="s">
        <v>3972</v>
      </c>
      <c r="H563" s="3178">
        <v>-1022</v>
      </c>
      <c r="I563" s="3179">
        <v>9.25</v>
      </c>
      <c r="J563" s="3179">
        <v>2.91</v>
      </c>
      <c r="L563" s="3177">
        <v>561</v>
      </c>
      <c r="M563" s="3175">
        <v>-10534</v>
      </c>
      <c r="N563" s="3175" t="s">
        <v>3423</v>
      </c>
      <c r="O563" s="3176">
        <v>23.43</v>
      </c>
      <c r="P563" s="3176">
        <v>7.38</v>
      </c>
    </row>
    <row r="564" spans="1:16" ht="15" thickBot="1">
      <c r="A564" s="3174">
        <v>562</v>
      </c>
      <c r="B564" s="3175" t="s">
        <v>3994</v>
      </c>
      <c r="C564" s="3176">
        <v>88.83</v>
      </c>
      <c r="D564" s="3176">
        <v>27.97</v>
      </c>
      <c r="F564" s="3177">
        <v>562</v>
      </c>
      <c r="G564" s="3175" t="s">
        <v>3972</v>
      </c>
      <c r="H564" s="3178">
        <v>-1023</v>
      </c>
      <c r="I564" s="3179">
        <v>9.3699999999999992</v>
      </c>
      <c r="J564" s="3179">
        <v>2.95</v>
      </c>
      <c r="L564" s="3177">
        <v>562</v>
      </c>
      <c r="M564" s="3175">
        <v>-10535</v>
      </c>
      <c r="N564" s="3175" t="s">
        <v>3423</v>
      </c>
      <c r="O564" s="3176">
        <v>23.43</v>
      </c>
      <c r="P564" s="3176">
        <v>7.38</v>
      </c>
    </row>
    <row r="565" spans="1:16" ht="15" thickBot="1">
      <c r="A565" s="3174">
        <v>563</v>
      </c>
      <c r="B565" s="3175" t="s">
        <v>3995</v>
      </c>
      <c r="C565" s="3176">
        <v>88.83</v>
      </c>
      <c r="D565" s="3176">
        <v>27.97</v>
      </c>
      <c r="F565" s="3177">
        <v>563</v>
      </c>
      <c r="G565" s="3175" t="s">
        <v>3972</v>
      </c>
      <c r="H565" s="3178">
        <v>-1024</v>
      </c>
      <c r="I565" s="3179">
        <v>9.3699999999999992</v>
      </c>
      <c r="J565" s="3179">
        <v>2.95</v>
      </c>
      <c r="L565" s="3177">
        <v>563</v>
      </c>
      <c r="M565" s="3175">
        <v>-10536</v>
      </c>
      <c r="N565" s="3175" t="s">
        <v>3423</v>
      </c>
      <c r="O565" s="3176">
        <v>23.43</v>
      </c>
      <c r="P565" s="3176">
        <v>7.38</v>
      </c>
    </row>
    <row r="566" spans="1:16" ht="15" thickBot="1">
      <c r="A566" s="3174">
        <v>564</v>
      </c>
      <c r="B566" s="3175" t="s">
        <v>3996</v>
      </c>
      <c r="C566" s="3176">
        <v>112.42</v>
      </c>
      <c r="D566" s="3176">
        <v>35.39</v>
      </c>
      <c r="F566" s="3177">
        <v>564</v>
      </c>
      <c r="G566" s="3175" t="s">
        <v>3972</v>
      </c>
      <c r="H566" s="3178">
        <v>-1025</v>
      </c>
      <c r="I566" s="3179">
        <v>9.25</v>
      </c>
      <c r="J566" s="3179">
        <v>2.91</v>
      </c>
      <c r="L566" s="3177">
        <v>564</v>
      </c>
      <c r="M566" s="3175">
        <v>-10537</v>
      </c>
      <c r="N566" s="3175" t="s">
        <v>3423</v>
      </c>
      <c r="O566" s="3176">
        <v>23.43</v>
      </c>
      <c r="P566" s="3176">
        <v>7.38</v>
      </c>
    </row>
    <row r="567" spans="1:16" ht="15" thickBot="1">
      <c r="A567" s="3174">
        <v>565</v>
      </c>
      <c r="B567" s="3175" t="s">
        <v>3997</v>
      </c>
      <c r="C567" s="3176">
        <v>89.11</v>
      </c>
      <c r="D567" s="3176">
        <v>28.06</v>
      </c>
      <c r="F567" s="3177">
        <v>565</v>
      </c>
      <c r="G567" s="3175" t="s">
        <v>3972</v>
      </c>
      <c r="H567" s="3178">
        <v>-1026</v>
      </c>
      <c r="I567" s="3179">
        <v>18.12</v>
      </c>
      <c r="J567" s="3179">
        <v>5.7</v>
      </c>
      <c r="L567" s="3177">
        <v>565</v>
      </c>
      <c r="M567" s="3175">
        <v>-10538</v>
      </c>
      <c r="N567" s="3175" t="s">
        <v>3423</v>
      </c>
      <c r="O567" s="3176">
        <v>23.43</v>
      </c>
      <c r="P567" s="3176">
        <v>7.38</v>
      </c>
    </row>
    <row r="568" spans="1:16" ht="15" thickBot="1">
      <c r="A568" s="3174">
        <v>566</v>
      </c>
      <c r="B568" s="3175" t="s">
        <v>3998</v>
      </c>
      <c r="C568" s="3176">
        <v>88.83</v>
      </c>
      <c r="D568" s="3176">
        <v>27.97</v>
      </c>
      <c r="F568" s="3177">
        <v>566</v>
      </c>
      <c r="G568" s="3175" t="s">
        <v>3999</v>
      </c>
      <c r="H568" s="3178">
        <v>-3001</v>
      </c>
      <c r="I568" s="3179">
        <v>11.18</v>
      </c>
      <c r="J568" s="3179">
        <v>3.52</v>
      </c>
      <c r="L568" s="3177">
        <v>566</v>
      </c>
      <c r="M568" s="3175">
        <v>-10539</v>
      </c>
      <c r="N568" s="3175" t="s">
        <v>3423</v>
      </c>
      <c r="O568" s="3176">
        <v>23.43</v>
      </c>
      <c r="P568" s="3176">
        <v>7.38</v>
      </c>
    </row>
    <row r="569" spans="1:16" ht="15" thickBot="1">
      <c r="A569" s="3174">
        <v>567</v>
      </c>
      <c r="B569" s="3175" t="s">
        <v>4000</v>
      </c>
      <c r="C569" s="3176">
        <v>88.83</v>
      </c>
      <c r="D569" s="3176">
        <v>27.97</v>
      </c>
      <c r="F569" s="3177">
        <v>567</v>
      </c>
      <c r="G569" s="3175" t="s">
        <v>3999</v>
      </c>
      <c r="H569" s="3178">
        <v>-3002</v>
      </c>
      <c r="I569" s="3179">
        <v>10.15</v>
      </c>
      <c r="J569" s="3179">
        <v>3.2</v>
      </c>
      <c r="L569" s="3177">
        <v>567</v>
      </c>
      <c r="M569" s="3175">
        <v>-10540</v>
      </c>
      <c r="N569" s="3175" t="s">
        <v>3423</v>
      </c>
      <c r="O569" s="3176">
        <v>23.43</v>
      </c>
      <c r="P569" s="3176">
        <v>7.38</v>
      </c>
    </row>
    <row r="570" spans="1:16" ht="15" thickBot="1">
      <c r="A570" s="3174">
        <v>568</v>
      </c>
      <c r="B570" s="3175" t="s">
        <v>4001</v>
      </c>
      <c r="C570" s="3176">
        <v>112.42</v>
      </c>
      <c r="D570" s="3176">
        <v>35.39</v>
      </c>
      <c r="F570" s="3177">
        <v>568</v>
      </c>
      <c r="G570" s="3175" t="s">
        <v>3999</v>
      </c>
      <c r="H570" s="3178">
        <v>-3003</v>
      </c>
      <c r="I570" s="3179">
        <v>10.15</v>
      </c>
      <c r="J570" s="3179">
        <v>3.2</v>
      </c>
      <c r="L570" s="3177">
        <v>568</v>
      </c>
      <c r="M570" s="3175">
        <v>-10541</v>
      </c>
      <c r="N570" s="3175" t="s">
        <v>3423</v>
      </c>
      <c r="O570" s="3176">
        <v>23.43</v>
      </c>
      <c r="P570" s="3176">
        <v>7.38</v>
      </c>
    </row>
    <row r="571" spans="1:16" ht="15" thickBot="1">
      <c r="A571" s="3174">
        <v>569</v>
      </c>
      <c r="B571" s="3175" t="s">
        <v>4002</v>
      </c>
      <c r="C571" s="3176">
        <v>89.11</v>
      </c>
      <c r="D571" s="3176">
        <v>28.06</v>
      </c>
      <c r="F571" s="3177">
        <v>569</v>
      </c>
      <c r="G571" s="3175" t="s">
        <v>3999</v>
      </c>
      <c r="H571" s="3178">
        <v>-3004</v>
      </c>
      <c r="I571" s="3179">
        <v>10.77</v>
      </c>
      <c r="J571" s="3179">
        <v>3.39</v>
      </c>
      <c r="L571" s="3177">
        <v>569</v>
      </c>
      <c r="M571" s="3175">
        <v>-10542</v>
      </c>
      <c r="N571" s="3175" t="s">
        <v>3423</v>
      </c>
      <c r="O571" s="3176">
        <v>23.43</v>
      </c>
      <c r="P571" s="3176">
        <v>7.38</v>
      </c>
    </row>
    <row r="572" spans="1:16" ht="15" thickBot="1">
      <c r="A572" s="3174">
        <v>570</v>
      </c>
      <c r="B572" s="3175" t="s">
        <v>4003</v>
      </c>
      <c r="C572" s="3176">
        <v>88.83</v>
      </c>
      <c r="D572" s="3176">
        <v>27.97</v>
      </c>
      <c r="F572" s="3177">
        <v>570</v>
      </c>
      <c r="G572" s="3175" t="s">
        <v>3999</v>
      </c>
      <c r="H572" s="3178">
        <v>-3005</v>
      </c>
      <c r="I572" s="3179">
        <v>10.45</v>
      </c>
      <c r="J572" s="3179">
        <v>3.29</v>
      </c>
      <c r="L572" s="3177">
        <v>570</v>
      </c>
      <c r="M572" s="3175">
        <v>-10543</v>
      </c>
      <c r="N572" s="3175" t="s">
        <v>3423</v>
      </c>
      <c r="O572" s="3176">
        <v>23.43</v>
      </c>
      <c r="P572" s="3176">
        <v>7.38</v>
      </c>
    </row>
    <row r="573" spans="1:16" ht="15" thickBot="1">
      <c r="A573" s="3174">
        <v>571</v>
      </c>
      <c r="B573" s="3175" t="s">
        <v>4004</v>
      </c>
      <c r="C573" s="3176">
        <v>88.83</v>
      </c>
      <c r="D573" s="3176">
        <v>27.97</v>
      </c>
      <c r="F573" s="3177">
        <v>571</v>
      </c>
      <c r="G573" s="3175" t="s">
        <v>3999</v>
      </c>
      <c r="H573" s="3178">
        <v>-3006</v>
      </c>
      <c r="I573" s="3179">
        <v>8.92</v>
      </c>
      <c r="J573" s="3179">
        <v>2.81</v>
      </c>
      <c r="L573" s="3177">
        <v>571</v>
      </c>
      <c r="M573" s="3175">
        <v>-10544</v>
      </c>
      <c r="N573" s="3175" t="s">
        <v>3423</v>
      </c>
      <c r="O573" s="3176">
        <v>23.43</v>
      </c>
      <c r="P573" s="3176">
        <v>7.38</v>
      </c>
    </row>
    <row r="574" spans="1:16" ht="15" thickBot="1">
      <c r="A574" s="3174">
        <v>572</v>
      </c>
      <c r="B574" s="3175" t="s">
        <v>4005</v>
      </c>
      <c r="C574" s="3176">
        <v>112.42</v>
      </c>
      <c r="D574" s="3176">
        <v>35.39</v>
      </c>
      <c r="F574" s="3177">
        <v>572</v>
      </c>
      <c r="G574" s="3175" t="s">
        <v>3999</v>
      </c>
      <c r="H574" s="3178">
        <v>-3007</v>
      </c>
      <c r="I574" s="3179">
        <v>9.4700000000000006</v>
      </c>
      <c r="J574" s="3179">
        <v>2.98</v>
      </c>
      <c r="L574" s="3177">
        <v>572</v>
      </c>
      <c r="M574" s="3175">
        <v>-10545</v>
      </c>
      <c r="N574" s="3175" t="s">
        <v>3423</v>
      </c>
      <c r="O574" s="3176">
        <v>23.43</v>
      </c>
      <c r="P574" s="3176">
        <v>7.38</v>
      </c>
    </row>
    <row r="575" spans="1:16" ht="15" thickBot="1">
      <c r="A575" s="3174">
        <v>573</v>
      </c>
      <c r="B575" s="3175" t="s">
        <v>4006</v>
      </c>
      <c r="C575" s="3176">
        <v>89.11</v>
      </c>
      <c r="D575" s="3176">
        <v>28.06</v>
      </c>
      <c r="F575" s="3177">
        <v>573</v>
      </c>
      <c r="G575" s="3175" t="s">
        <v>3999</v>
      </c>
      <c r="H575" s="3178">
        <v>-3008</v>
      </c>
      <c r="I575" s="3179">
        <v>8.36</v>
      </c>
      <c r="J575" s="3179">
        <v>2.63</v>
      </c>
      <c r="L575" s="3177">
        <v>573</v>
      </c>
      <c r="M575" s="3175">
        <v>-10546</v>
      </c>
      <c r="N575" s="3175" t="s">
        <v>3423</v>
      </c>
      <c r="O575" s="3176">
        <v>23.43</v>
      </c>
      <c r="P575" s="3176">
        <v>7.38</v>
      </c>
    </row>
    <row r="576" spans="1:16" ht="15" thickBot="1">
      <c r="A576" s="3174">
        <v>574</v>
      </c>
      <c r="B576" s="3175" t="s">
        <v>4007</v>
      </c>
      <c r="C576" s="3176">
        <v>88.83</v>
      </c>
      <c r="D576" s="3176">
        <v>27.97</v>
      </c>
      <c r="F576" s="3177">
        <v>574</v>
      </c>
      <c r="G576" s="3175" t="s">
        <v>3999</v>
      </c>
      <c r="H576" s="3178">
        <v>-3009</v>
      </c>
      <c r="I576" s="3179">
        <v>8.2899999999999991</v>
      </c>
      <c r="J576" s="3179">
        <v>2.61</v>
      </c>
      <c r="L576" s="3177">
        <v>574</v>
      </c>
      <c r="M576" s="3175">
        <v>-10547</v>
      </c>
      <c r="N576" s="3175" t="s">
        <v>3423</v>
      </c>
      <c r="O576" s="3176">
        <v>23.43</v>
      </c>
      <c r="P576" s="3176">
        <v>7.38</v>
      </c>
    </row>
    <row r="577" spans="1:16" ht="15" thickBot="1">
      <c r="A577" s="3174">
        <v>575</v>
      </c>
      <c r="B577" s="3175" t="s">
        <v>4008</v>
      </c>
      <c r="C577" s="3176">
        <v>88.83</v>
      </c>
      <c r="D577" s="3176">
        <v>27.97</v>
      </c>
      <c r="F577" s="3177">
        <v>575</v>
      </c>
      <c r="G577" s="3175" t="s">
        <v>3999</v>
      </c>
      <c r="H577" s="3178">
        <v>-3010</v>
      </c>
      <c r="I577" s="3179">
        <v>8.2899999999999991</v>
      </c>
      <c r="J577" s="3179">
        <v>2.61</v>
      </c>
      <c r="L577" s="3177">
        <v>575</v>
      </c>
      <c r="M577" s="3175">
        <v>-10548</v>
      </c>
      <c r="N577" s="3175" t="s">
        <v>3423</v>
      </c>
      <c r="O577" s="3176">
        <v>23.43</v>
      </c>
      <c r="P577" s="3176">
        <v>7.38</v>
      </c>
    </row>
    <row r="578" spans="1:16" ht="15" thickBot="1">
      <c r="A578" s="3174">
        <v>576</v>
      </c>
      <c r="B578" s="3175" t="s">
        <v>4009</v>
      </c>
      <c r="C578" s="3176">
        <v>112.42</v>
      </c>
      <c r="D578" s="3176">
        <v>35.39</v>
      </c>
      <c r="F578" s="3177">
        <v>576</v>
      </c>
      <c r="G578" s="3175" t="s">
        <v>3999</v>
      </c>
      <c r="H578" s="3178">
        <v>-3011</v>
      </c>
      <c r="I578" s="3179">
        <v>10.75</v>
      </c>
      <c r="J578" s="3179">
        <v>3.38</v>
      </c>
      <c r="L578" s="3177">
        <v>576</v>
      </c>
      <c r="M578" s="3175">
        <v>-10549</v>
      </c>
      <c r="N578" s="3175" t="s">
        <v>3423</v>
      </c>
      <c r="O578" s="3176">
        <v>23.43</v>
      </c>
      <c r="P578" s="3176">
        <v>7.38</v>
      </c>
    </row>
    <row r="579" spans="1:16" ht="15" thickBot="1">
      <c r="A579" s="3174">
        <v>577</v>
      </c>
      <c r="B579" s="3175" t="s">
        <v>4010</v>
      </c>
      <c r="C579" s="3176">
        <v>89.11</v>
      </c>
      <c r="D579" s="3176">
        <v>28.06</v>
      </c>
      <c r="F579" s="3177">
        <v>577</v>
      </c>
      <c r="G579" s="3175" t="s">
        <v>3999</v>
      </c>
      <c r="H579" s="3178">
        <v>-3012</v>
      </c>
      <c r="I579" s="3179">
        <v>14.57</v>
      </c>
      <c r="J579" s="3179">
        <v>4.59</v>
      </c>
      <c r="L579" s="3177">
        <v>577</v>
      </c>
      <c r="M579" s="3175">
        <v>-10550</v>
      </c>
      <c r="N579" s="3175" t="s">
        <v>3423</v>
      </c>
      <c r="O579" s="3176">
        <v>23.43</v>
      </c>
      <c r="P579" s="3176">
        <v>7.38</v>
      </c>
    </row>
    <row r="580" spans="1:16" ht="15" thickBot="1">
      <c r="A580" s="3174">
        <v>578</v>
      </c>
      <c r="B580" s="3175" t="s">
        <v>4011</v>
      </c>
      <c r="C580" s="3176">
        <v>88.83</v>
      </c>
      <c r="D580" s="3176">
        <v>27.97</v>
      </c>
      <c r="F580" s="3177">
        <v>578</v>
      </c>
      <c r="G580" s="3175" t="s">
        <v>3999</v>
      </c>
      <c r="H580" s="3178">
        <v>-3013</v>
      </c>
      <c r="I580" s="3179">
        <v>6.88</v>
      </c>
      <c r="J580" s="3179">
        <v>2.17</v>
      </c>
      <c r="L580" s="3177">
        <v>578</v>
      </c>
      <c r="M580" s="3175">
        <v>-10551</v>
      </c>
      <c r="N580" s="3175" t="s">
        <v>3423</v>
      </c>
      <c r="O580" s="3176">
        <v>23.43</v>
      </c>
      <c r="P580" s="3176">
        <v>7.38</v>
      </c>
    </row>
    <row r="581" spans="1:16" ht="15" thickBot="1">
      <c r="A581" s="3174">
        <v>579</v>
      </c>
      <c r="B581" s="3175" t="s">
        <v>4012</v>
      </c>
      <c r="C581" s="3176">
        <v>88.83</v>
      </c>
      <c r="D581" s="3176">
        <v>27.97</v>
      </c>
      <c r="F581" s="3177">
        <v>579</v>
      </c>
      <c r="G581" s="3175" t="s">
        <v>3999</v>
      </c>
      <c r="H581" s="3178">
        <v>-3014</v>
      </c>
      <c r="I581" s="3179">
        <v>6.7</v>
      </c>
      <c r="J581" s="3179">
        <v>2.11</v>
      </c>
      <c r="L581" s="3177">
        <v>579</v>
      </c>
      <c r="M581" s="3175">
        <v>-10552</v>
      </c>
      <c r="N581" s="3175" t="s">
        <v>3423</v>
      </c>
      <c r="O581" s="3176">
        <v>23.43</v>
      </c>
      <c r="P581" s="3176">
        <v>7.38</v>
      </c>
    </row>
    <row r="582" spans="1:16" ht="15" thickBot="1">
      <c r="A582" s="3174">
        <v>580</v>
      </c>
      <c r="B582" s="3175" t="s">
        <v>4013</v>
      </c>
      <c r="C582" s="3176">
        <v>112.42</v>
      </c>
      <c r="D582" s="3176">
        <v>35.39</v>
      </c>
      <c r="F582" s="3177">
        <v>580</v>
      </c>
      <c r="G582" s="3175" t="s">
        <v>3999</v>
      </c>
      <c r="H582" s="3178">
        <v>-3015</v>
      </c>
      <c r="I582" s="3179">
        <v>7.63</v>
      </c>
      <c r="J582" s="3179">
        <v>2.4</v>
      </c>
      <c r="L582" s="3177">
        <v>580</v>
      </c>
      <c r="M582" s="3175">
        <v>-10553</v>
      </c>
      <c r="N582" s="3175" t="s">
        <v>3423</v>
      </c>
      <c r="O582" s="3176">
        <v>23.43</v>
      </c>
      <c r="P582" s="3176">
        <v>7.38</v>
      </c>
    </row>
    <row r="583" spans="1:16" ht="15" thickBot="1">
      <c r="A583" s="3174">
        <v>581</v>
      </c>
      <c r="B583" s="3175" t="s">
        <v>4014</v>
      </c>
      <c r="C583" s="3176">
        <v>89.11</v>
      </c>
      <c r="D583" s="3176">
        <v>28.06</v>
      </c>
      <c r="F583" s="3177">
        <v>581</v>
      </c>
      <c r="G583" s="3175" t="s">
        <v>3999</v>
      </c>
      <c r="H583" s="3178">
        <v>-3016</v>
      </c>
      <c r="I583" s="3179">
        <v>8.07</v>
      </c>
      <c r="J583" s="3179">
        <v>2.54</v>
      </c>
      <c r="L583" s="3177">
        <v>581</v>
      </c>
      <c r="M583" s="3175">
        <v>-10554</v>
      </c>
      <c r="N583" s="3175" t="s">
        <v>3423</v>
      </c>
      <c r="O583" s="3176">
        <v>23.43</v>
      </c>
      <c r="P583" s="3176">
        <v>7.38</v>
      </c>
    </row>
    <row r="584" spans="1:16" ht="15" thickBot="1">
      <c r="A584" s="3174">
        <v>582</v>
      </c>
      <c r="B584" s="3175" t="s">
        <v>4015</v>
      </c>
      <c r="C584" s="3176">
        <v>88.83</v>
      </c>
      <c r="D584" s="3176">
        <v>27.97</v>
      </c>
      <c r="F584" s="3177">
        <v>582</v>
      </c>
      <c r="G584" s="3175" t="s">
        <v>3999</v>
      </c>
      <c r="H584" s="3178">
        <v>-3017</v>
      </c>
      <c r="I584" s="3179">
        <v>7.86</v>
      </c>
      <c r="J584" s="3179">
        <v>2.4700000000000002</v>
      </c>
      <c r="L584" s="3177">
        <v>582</v>
      </c>
      <c r="M584" s="3175">
        <v>-10555</v>
      </c>
      <c r="N584" s="3175" t="s">
        <v>3423</v>
      </c>
      <c r="O584" s="3176">
        <v>23.43</v>
      </c>
      <c r="P584" s="3176">
        <v>7.38</v>
      </c>
    </row>
    <row r="585" spans="1:16" ht="15" thickBot="1">
      <c r="A585" s="3174">
        <v>583</v>
      </c>
      <c r="B585" s="3175" t="s">
        <v>4016</v>
      </c>
      <c r="C585" s="3176">
        <v>88.83</v>
      </c>
      <c r="D585" s="3176">
        <v>27.97</v>
      </c>
      <c r="F585" s="3177">
        <v>583</v>
      </c>
      <c r="G585" s="3175" t="s">
        <v>3999</v>
      </c>
      <c r="H585" s="3178">
        <v>-3018</v>
      </c>
      <c r="I585" s="3179">
        <v>10.5</v>
      </c>
      <c r="J585" s="3179">
        <v>3.31</v>
      </c>
      <c r="L585" s="3177">
        <v>583</v>
      </c>
      <c r="M585" s="3175">
        <v>-10556</v>
      </c>
      <c r="N585" s="3175" t="s">
        <v>3423</v>
      </c>
      <c r="O585" s="3176">
        <v>23.43</v>
      </c>
      <c r="P585" s="3176">
        <v>7.38</v>
      </c>
    </row>
    <row r="586" spans="1:16" ht="15" thickBot="1">
      <c r="A586" s="3174">
        <v>584</v>
      </c>
      <c r="B586" s="3175" t="s">
        <v>4017</v>
      </c>
      <c r="C586" s="3176">
        <v>112.42</v>
      </c>
      <c r="D586" s="3176">
        <v>35.39</v>
      </c>
      <c r="F586" s="3177">
        <v>584</v>
      </c>
      <c r="G586" s="3175" t="s">
        <v>3999</v>
      </c>
      <c r="H586" s="3178">
        <v>-3019</v>
      </c>
      <c r="I586" s="3179">
        <v>8.41</v>
      </c>
      <c r="J586" s="3179">
        <v>2.65</v>
      </c>
      <c r="L586" s="3177">
        <v>584</v>
      </c>
      <c r="M586" s="3175">
        <v>-10557</v>
      </c>
      <c r="N586" s="3175" t="s">
        <v>3423</v>
      </c>
      <c r="O586" s="3176">
        <v>23.43</v>
      </c>
      <c r="P586" s="3176">
        <v>7.38</v>
      </c>
    </row>
    <row r="587" spans="1:16" ht="15" thickBot="1">
      <c r="A587" s="3174">
        <v>585</v>
      </c>
      <c r="B587" s="3175" t="s">
        <v>4018</v>
      </c>
      <c r="C587" s="3176">
        <v>89.11</v>
      </c>
      <c r="D587" s="3176">
        <v>28.06</v>
      </c>
      <c r="F587" s="3177">
        <v>585</v>
      </c>
      <c r="G587" s="3175" t="s">
        <v>3999</v>
      </c>
      <c r="H587" s="3178">
        <v>-3020</v>
      </c>
      <c r="I587" s="3179">
        <v>8.66</v>
      </c>
      <c r="J587" s="3179">
        <v>2.73</v>
      </c>
      <c r="L587" s="3177">
        <v>585</v>
      </c>
      <c r="M587" s="3175">
        <v>-10558</v>
      </c>
      <c r="N587" s="3175" t="s">
        <v>3423</v>
      </c>
      <c r="O587" s="3176">
        <v>23.43</v>
      </c>
      <c r="P587" s="3176">
        <v>7.38</v>
      </c>
    </row>
    <row r="588" spans="1:16" ht="15" thickBot="1">
      <c r="A588" s="3174">
        <v>586</v>
      </c>
      <c r="B588" s="3175" t="s">
        <v>4019</v>
      </c>
      <c r="C588" s="3176">
        <v>88.83</v>
      </c>
      <c r="D588" s="3176">
        <v>27.97</v>
      </c>
      <c r="F588" s="3177">
        <v>586</v>
      </c>
      <c r="G588" s="3175" t="s">
        <v>3999</v>
      </c>
      <c r="H588" s="3178">
        <v>-3021</v>
      </c>
      <c r="I588" s="3179">
        <v>8.52</v>
      </c>
      <c r="J588" s="3179">
        <v>2.68</v>
      </c>
      <c r="L588" s="3177">
        <v>586</v>
      </c>
      <c r="M588" s="3175">
        <v>-10559</v>
      </c>
      <c r="N588" s="3175" t="s">
        <v>3423</v>
      </c>
      <c r="O588" s="3176">
        <v>23.43</v>
      </c>
      <c r="P588" s="3176">
        <v>7.38</v>
      </c>
    </row>
    <row r="589" spans="1:16" ht="15" thickBot="1">
      <c r="A589" s="3174">
        <v>587</v>
      </c>
      <c r="B589" s="3175" t="s">
        <v>4020</v>
      </c>
      <c r="C589" s="3176">
        <v>88.83</v>
      </c>
      <c r="D589" s="3176">
        <v>27.97</v>
      </c>
      <c r="F589" s="3177">
        <v>587</v>
      </c>
      <c r="G589" s="3175" t="s">
        <v>3999</v>
      </c>
      <c r="H589" s="3178">
        <v>-3022</v>
      </c>
      <c r="I589" s="3179">
        <v>7.29</v>
      </c>
      <c r="J589" s="3179">
        <v>2.2999999999999998</v>
      </c>
      <c r="L589" s="3177">
        <v>587</v>
      </c>
      <c r="M589" s="3175">
        <v>-10560</v>
      </c>
      <c r="N589" s="3175" t="s">
        <v>3423</v>
      </c>
      <c r="O589" s="3176">
        <v>23.43</v>
      </c>
      <c r="P589" s="3176">
        <v>7.38</v>
      </c>
    </row>
    <row r="590" spans="1:16" ht="15" thickBot="1">
      <c r="A590" s="3174">
        <v>588</v>
      </c>
      <c r="B590" s="3175" t="s">
        <v>4021</v>
      </c>
      <c r="C590" s="3176">
        <v>112.42</v>
      </c>
      <c r="D590" s="3176">
        <v>35.39</v>
      </c>
      <c r="F590" s="3177">
        <v>588</v>
      </c>
      <c r="G590" s="3175" t="s">
        <v>3999</v>
      </c>
      <c r="H590" s="3178">
        <v>-3023</v>
      </c>
      <c r="I590" s="3179">
        <v>7.08</v>
      </c>
      <c r="J590" s="3179">
        <v>2.23</v>
      </c>
      <c r="L590" s="3177">
        <v>588</v>
      </c>
      <c r="M590" s="3175">
        <v>-10561</v>
      </c>
      <c r="N590" s="3175" t="s">
        <v>3423</v>
      </c>
      <c r="O590" s="3176">
        <v>23.43</v>
      </c>
      <c r="P590" s="3176">
        <v>7.38</v>
      </c>
    </row>
    <row r="591" spans="1:16" ht="15" thickBot="1">
      <c r="A591" s="3174">
        <v>589</v>
      </c>
      <c r="B591" s="3175" t="s">
        <v>4022</v>
      </c>
      <c r="C591" s="3176">
        <v>89.11</v>
      </c>
      <c r="D591" s="3176">
        <v>28.06</v>
      </c>
      <c r="F591" s="3177">
        <v>589</v>
      </c>
      <c r="G591" s="3175" t="s">
        <v>3999</v>
      </c>
      <c r="H591" s="3178">
        <v>-3024</v>
      </c>
      <c r="I591" s="3179">
        <v>7.08</v>
      </c>
      <c r="J591" s="3179">
        <v>2.23</v>
      </c>
      <c r="L591" s="3177">
        <v>589</v>
      </c>
      <c r="M591" s="3175">
        <v>-10562</v>
      </c>
      <c r="N591" s="3175" t="s">
        <v>3423</v>
      </c>
      <c r="O591" s="3176">
        <v>23.43</v>
      </c>
      <c r="P591" s="3176">
        <v>7.38</v>
      </c>
    </row>
    <row r="592" spans="1:16" ht="15" thickBot="1">
      <c r="A592" s="3174">
        <v>590</v>
      </c>
      <c r="B592" s="3175" t="s">
        <v>4023</v>
      </c>
      <c r="C592" s="3176">
        <v>88.83</v>
      </c>
      <c r="D592" s="3176">
        <v>27.97</v>
      </c>
      <c r="F592" s="3177">
        <v>590</v>
      </c>
      <c r="G592" s="3175" t="s">
        <v>3999</v>
      </c>
      <c r="H592" s="3178">
        <v>-3025</v>
      </c>
      <c r="I592" s="3179">
        <v>7.38</v>
      </c>
      <c r="J592" s="3179">
        <v>2.3199999999999998</v>
      </c>
      <c r="L592" s="3177">
        <v>590</v>
      </c>
      <c r="M592" s="3175">
        <v>-10563</v>
      </c>
      <c r="N592" s="3175" t="s">
        <v>3423</v>
      </c>
      <c r="O592" s="3176">
        <v>23.43</v>
      </c>
      <c r="P592" s="3176">
        <v>7.38</v>
      </c>
    </row>
    <row r="593" spans="1:16" ht="15" thickBot="1">
      <c r="A593" s="3174">
        <v>591</v>
      </c>
      <c r="B593" s="3175" t="s">
        <v>4024</v>
      </c>
      <c r="C593" s="3176">
        <v>88.83</v>
      </c>
      <c r="D593" s="3176">
        <v>27.97</v>
      </c>
      <c r="F593" s="3177">
        <v>591</v>
      </c>
      <c r="G593" s="3175" t="s">
        <v>3999</v>
      </c>
      <c r="H593" s="3178">
        <v>-3026</v>
      </c>
      <c r="I593" s="3179">
        <v>7.38</v>
      </c>
      <c r="J593" s="3179">
        <v>2.3199999999999998</v>
      </c>
      <c r="L593" s="3177">
        <v>591</v>
      </c>
      <c r="M593" s="3175">
        <v>-10564</v>
      </c>
      <c r="N593" s="3175" t="s">
        <v>3423</v>
      </c>
      <c r="O593" s="3176">
        <v>23.43</v>
      </c>
      <c r="P593" s="3176">
        <v>7.38</v>
      </c>
    </row>
    <row r="594" spans="1:16" ht="15" thickBot="1">
      <c r="A594" s="3174">
        <v>592</v>
      </c>
      <c r="B594" s="3175" t="s">
        <v>4025</v>
      </c>
      <c r="C594" s="3176">
        <v>112.42</v>
      </c>
      <c r="D594" s="3176">
        <v>35.39</v>
      </c>
      <c r="F594" s="3177">
        <v>592</v>
      </c>
      <c r="G594" s="3175" t="s">
        <v>3999</v>
      </c>
      <c r="H594" s="3178">
        <v>-3027</v>
      </c>
      <c r="I594" s="3179">
        <v>7.08</v>
      </c>
      <c r="J594" s="3179">
        <v>2.23</v>
      </c>
      <c r="L594" s="3177">
        <v>592</v>
      </c>
      <c r="M594" s="3175">
        <v>-10565</v>
      </c>
      <c r="N594" s="3175" t="s">
        <v>3423</v>
      </c>
      <c r="O594" s="3176">
        <v>23.43</v>
      </c>
      <c r="P594" s="3176">
        <v>7.38</v>
      </c>
    </row>
    <row r="595" spans="1:16" ht="15" thickBot="1">
      <c r="A595" s="3174">
        <v>593</v>
      </c>
      <c r="B595" s="3175" t="s">
        <v>4026</v>
      </c>
      <c r="C595" s="3176">
        <v>89.11</v>
      </c>
      <c r="D595" s="3176">
        <v>28.06</v>
      </c>
      <c r="F595" s="3177">
        <v>593</v>
      </c>
      <c r="G595" s="3175" t="s">
        <v>3999</v>
      </c>
      <c r="H595" s="3178">
        <v>-3028</v>
      </c>
      <c r="I595" s="3179">
        <v>7.08</v>
      </c>
      <c r="J595" s="3179">
        <v>2.23</v>
      </c>
      <c r="L595" s="3177">
        <v>593</v>
      </c>
      <c r="M595" s="3175">
        <v>-10566</v>
      </c>
      <c r="N595" s="3175" t="s">
        <v>3423</v>
      </c>
      <c r="O595" s="3176">
        <v>23.43</v>
      </c>
      <c r="P595" s="3176">
        <v>7.38</v>
      </c>
    </row>
    <row r="596" spans="1:16" ht="15" thickBot="1">
      <c r="A596" s="3174">
        <v>594</v>
      </c>
      <c r="B596" s="3175" t="s">
        <v>4027</v>
      </c>
      <c r="C596" s="3176">
        <v>88.83</v>
      </c>
      <c r="D596" s="3176">
        <v>27.97</v>
      </c>
      <c r="F596" s="3177">
        <v>594</v>
      </c>
      <c r="G596" s="3175" t="s">
        <v>3999</v>
      </c>
      <c r="H596" s="3178">
        <v>-3029</v>
      </c>
      <c r="I596" s="3179">
        <v>7.29</v>
      </c>
      <c r="J596" s="3179">
        <v>2.2999999999999998</v>
      </c>
      <c r="L596" s="3177">
        <v>594</v>
      </c>
      <c r="M596" s="3175">
        <v>-10567</v>
      </c>
      <c r="N596" s="3175" t="s">
        <v>3423</v>
      </c>
      <c r="O596" s="3176">
        <v>23.43</v>
      </c>
      <c r="P596" s="3176">
        <v>7.38</v>
      </c>
    </row>
    <row r="597" spans="1:16" ht="15" thickBot="1">
      <c r="A597" s="3174">
        <v>595</v>
      </c>
      <c r="B597" s="3175" t="s">
        <v>4028</v>
      </c>
      <c r="C597" s="3176">
        <v>88.83</v>
      </c>
      <c r="D597" s="3176">
        <v>27.97</v>
      </c>
      <c r="F597" s="3177">
        <v>595</v>
      </c>
      <c r="G597" s="3175" t="s">
        <v>3999</v>
      </c>
      <c r="H597" s="3178">
        <v>-3030</v>
      </c>
      <c r="I597" s="3179">
        <v>8.52</v>
      </c>
      <c r="J597" s="3179">
        <v>2.68</v>
      </c>
      <c r="L597" s="3177">
        <v>595</v>
      </c>
      <c r="M597" s="3175">
        <v>-10568</v>
      </c>
      <c r="N597" s="3175" t="s">
        <v>3423</v>
      </c>
      <c r="O597" s="3176">
        <v>23.43</v>
      </c>
      <c r="P597" s="3176">
        <v>7.38</v>
      </c>
    </row>
    <row r="598" spans="1:16" ht="15" thickBot="1">
      <c r="A598" s="3174">
        <v>596</v>
      </c>
      <c r="B598" s="3175" t="s">
        <v>4029</v>
      </c>
      <c r="C598" s="3176">
        <v>112.42</v>
      </c>
      <c r="D598" s="3176">
        <v>35.39</v>
      </c>
      <c r="F598" s="3177">
        <v>596</v>
      </c>
      <c r="G598" s="3175" t="s">
        <v>3999</v>
      </c>
      <c r="H598" s="3178">
        <v>-3031</v>
      </c>
      <c r="I598" s="3179">
        <v>8.66</v>
      </c>
      <c r="J598" s="3179">
        <v>2.73</v>
      </c>
      <c r="L598" s="3177">
        <v>596</v>
      </c>
      <c r="M598" s="3175">
        <v>-10569</v>
      </c>
      <c r="N598" s="3175" t="s">
        <v>3423</v>
      </c>
      <c r="O598" s="3176">
        <v>23.43</v>
      </c>
      <c r="P598" s="3176">
        <v>7.38</v>
      </c>
    </row>
    <row r="599" spans="1:16" ht="15" thickBot="1">
      <c r="A599" s="3174">
        <v>597</v>
      </c>
      <c r="B599" s="3175" t="s">
        <v>4030</v>
      </c>
      <c r="C599" s="3176">
        <v>89.11</v>
      </c>
      <c r="D599" s="3176">
        <v>28.06</v>
      </c>
      <c r="F599" s="3177">
        <v>597</v>
      </c>
      <c r="G599" s="3175" t="s">
        <v>3999</v>
      </c>
      <c r="H599" s="3178">
        <v>-3032</v>
      </c>
      <c r="I599" s="3179">
        <v>8.41</v>
      </c>
      <c r="J599" s="3179">
        <v>2.65</v>
      </c>
      <c r="L599" s="3177">
        <v>597</v>
      </c>
      <c r="M599" s="3175">
        <v>-10570</v>
      </c>
      <c r="N599" s="3175" t="s">
        <v>3423</v>
      </c>
      <c r="O599" s="3176">
        <v>23.43</v>
      </c>
      <c r="P599" s="3176">
        <v>7.38</v>
      </c>
    </row>
    <row r="600" spans="1:16" ht="15" thickBot="1">
      <c r="A600" s="3174">
        <v>598</v>
      </c>
      <c r="B600" s="3175" t="s">
        <v>4031</v>
      </c>
      <c r="C600" s="3176">
        <v>88.83</v>
      </c>
      <c r="D600" s="3176">
        <v>27.97</v>
      </c>
      <c r="F600" s="3177">
        <v>598</v>
      </c>
      <c r="G600" s="3175" t="s">
        <v>3999</v>
      </c>
      <c r="H600" s="3178">
        <v>-3033</v>
      </c>
      <c r="I600" s="3179">
        <v>12.15</v>
      </c>
      <c r="J600" s="3179">
        <v>3.83</v>
      </c>
      <c r="L600" s="3177">
        <v>598</v>
      </c>
      <c r="M600" s="3175">
        <v>-10571</v>
      </c>
      <c r="N600" s="3175" t="s">
        <v>3423</v>
      </c>
      <c r="O600" s="3176">
        <v>23.43</v>
      </c>
      <c r="P600" s="3176">
        <v>7.38</v>
      </c>
    </row>
    <row r="601" spans="1:16" ht="15" thickBot="1">
      <c r="A601" s="3174">
        <v>599</v>
      </c>
      <c r="B601" s="3175" t="s">
        <v>4032</v>
      </c>
      <c r="C601" s="3176">
        <v>88.83</v>
      </c>
      <c r="D601" s="3176">
        <v>27.97</v>
      </c>
      <c r="F601" s="3177">
        <v>599</v>
      </c>
      <c r="G601" s="3175" t="s">
        <v>3999</v>
      </c>
      <c r="H601" s="3178">
        <v>-3034</v>
      </c>
      <c r="I601" s="3179">
        <v>8.2200000000000006</v>
      </c>
      <c r="J601" s="3179">
        <v>2.59</v>
      </c>
      <c r="L601" s="3177">
        <v>599</v>
      </c>
      <c r="M601" s="3175">
        <v>-10572</v>
      </c>
      <c r="N601" s="3175" t="s">
        <v>3423</v>
      </c>
      <c r="O601" s="3176">
        <v>23.43</v>
      </c>
      <c r="P601" s="3176">
        <v>7.38</v>
      </c>
    </row>
    <row r="602" spans="1:16" ht="15" thickBot="1">
      <c r="A602" s="3174">
        <v>600</v>
      </c>
      <c r="B602" s="3175" t="s">
        <v>4033</v>
      </c>
      <c r="C602" s="3176">
        <v>112.42</v>
      </c>
      <c r="D602" s="3176">
        <v>35.39</v>
      </c>
      <c r="F602" s="3177">
        <v>600</v>
      </c>
      <c r="G602" s="3175" t="s">
        <v>3999</v>
      </c>
      <c r="H602" s="3178">
        <v>-3035</v>
      </c>
      <c r="I602" s="3179">
        <v>7.78</v>
      </c>
      <c r="J602" s="3179">
        <v>2.4500000000000002</v>
      </c>
      <c r="L602" s="3177">
        <v>600</v>
      </c>
      <c r="M602" s="3175">
        <v>-10573</v>
      </c>
      <c r="N602" s="3175" t="s">
        <v>3423</v>
      </c>
      <c r="O602" s="3176">
        <v>23.43</v>
      </c>
      <c r="P602" s="3176">
        <v>7.38</v>
      </c>
    </row>
    <row r="603" spans="1:16" ht="15" thickBot="1">
      <c r="A603" s="3174">
        <v>601</v>
      </c>
      <c r="B603" s="3175" t="s">
        <v>4034</v>
      </c>
      <c r="C603" s="3176">
        <v>89.11</v>
      </c>
      <c r="D603" s="3176">
        <v>28.06</v>
      </c>
      <c r="F603" s="3177">
        <v>601</v>
      </c>
      <c r="G603" s="3175" t="s">
        <v>3999</v>
      </c>
      <c r="H603" s="3178">
        <v>-3036</v>
      </c>
      <c r="I603" s="3179">
        <v>11.63</v>
      </c>
      <c r="J603" s="3179">
        <v>3.66</v>
      </c>
      <c r="L603" s="3177">
        <v>601</v>
      </c>
      <c r="M603" s="3175">
        <v>-10574</v>
      </c>
      <c r="N603" s="3175" t="s">
        <v>3423</v>
      </c>
      <c r="O603" s="3176">
        <v>23.43</v>
      </c>
      <c r="P603" s="3176">
        <v>7.38</v>
      </c>
    </row>
    <row r="604" spans="1:16" ht="15" thickBot="1">
      <c r="A604" s="3174">
        <v>602</v>
      </c>
      <c r="B604" s="3175" t="s">
        <v>4035</v>
      </c>
      <c r="C604" s="3176">
        <v>88.83</v>
      </c>
      <c r="D604" s="3176">
        <v>27.97</v>
      </c>
      <c r="F604" s="3177">
        <v>602</v>
      </c>
      <c r="G604" s="3175" t="s">
        <v>3999</v>
      </c>
      <c r="H604" s="3178">
        <v>-3037</v>
      </c>
      <c r="I604" s="3179">
        <v>7.69</v>
      </c>
      <c r="J604" s="3179">
        <v>2.42</v>
      </c>
      <c r="L604" s="3177">
        <v>602</v>
      </c>
      <c r="M604" s="3175">
        <v>-10575</v>
      </c>
      <c r="N604" s="3175" t="s">
        <v>3423</v>
      </c>
      <c r="O604" s="3176">
        <v>23.43</v>
      </c>
      <c r="P604" s="3176">
        <v>7.38</v>
      </c>
    </row>
    <row r="605" spans="1:16" ht="15" thickBot="1">
      <c r="A605" s="3174">
        <v>603</v>
      </c>
      <c r="B605" s="3175" t="s">
        <v>4036</v>
      </c>
      <c r="C605" s="3176">
        <v>88.83</v>
      </c>
      <c r="D605" s="3176">
        <v>27.97</v>
      </c>
      <c r="F605" s="3177">
        <v>603</v>
      </c>
      <c r="G605" s="3175" t="s">
        <v>3999</v>
      </c>
      <c r="H605" s="3178">
        <v>-3038</v>
      </c>
      <c r="I605" s="3179">
        <v>11.55</v>
      </c>
      <c r="J605" s="3179">
        <v>3.64</v>
      </c>
      <c r="L605" s="3177">
        <v>603</v>
      </c>
      <c r="M605" s="3175">
        <v>-10576</v>
      </c>
      <c r="N605" s="3175" t="s">
        <v>3423</v>
      </c>
      <c r="O605" s="3176">
        <v>23.43</v>
      </c>
      <c r="P605" s="3176">
        <v>7.38</v>
      </c>
    </row>
    <row r="606" spans="1:16" ht="15" thickBot="1">
      <c r="A606" s="3174">
        <v>604</v>
      </c>
      <c r="B606" s="3175" t="s">
        <v>4037</v>
      </c>
      <c r="C606" s="3176">
        <v>112.42</v>
      </c>
      <c r="D606" s="3176">
        <v>35.39</v>
      </c>
      <c r="F606" s="3177">
        <v>604</v>
      </c>
      <c r="G606" s="3175" t="s">
        <v>3999</v>
      </c>
      <c r="H606" s="3178">
        <v>-3039</v>
      </c>
      <c r="I606" s="3179">
        <v>8.7899999999999991</v>
      </c>
      <c r="J606" s="3179">
        <v>2.77</v>
      </c>
      <c r="L606" s="3177">
        <v>604</v>
      </c>
      <c r="M606" s="3175">
        <v>-10577</v>
      </c>
      <c r="N606" s="3175" t="s">
        <v>3423</v>
      </c>
      <c r="O606" s="3176">
        <v>23.43</v>
      </c>
      <c r="P606" s="3176">
        <v>7.38</v>
      </c>
    </row>
    <row r="607" spans="1:16" ht="15" thickBot="1">
      <c r="A607" s="3174">
        <v>605</v>
      </c>
      <c r="B607" s="3175" t="s">
        <v>4038</v>
      </c>
      <c r="C607" s="3176">
        <v>89.11</v>
      </c>
      <c r="D607" s="3176">
        <v>28.06</v>
      </c>
      <c r="F607" s="3177">
        <v>605</v>
      </c>
      <c r="G607" s="3175" t="s">
        <v>3999</v>
      </c>
      <c r="H607" s="3178">
        <v>-3040</v>
      </c>
      <c r="I607" s="3179">
        <v>9.1</v>
      </c>
      <c r="J607" s="3179">
        <v>2.87</v>
      </c>
      <c r="L607" s="3177">
        <v>605</v>
      </c>
      <c r="M607" s="3175">
        <v>-10578</v>
      </c>
      <c r="N607" s="3175" t="s">
        <v>3423</v>
      </c>
      <c r="O607" s="3176">
        <v>23.43</v>
      </c>
      <c r="P607" s="3176">
        <v>7.38</v>
      </c>
    </row>
    <row r="608" spans="1:16" ht="15" thickBot="1">
      <c r="A608" s="3174">
        <v>606</v>
      </c>
      <c r="B608" s="3175" t="s">
        <v>4039</v>
      </c>
      <c r="C608" s="3176">
        <v>88.83</v>
      </c>
      <c r="D608" s="3176">
        <v>27.97</v>
      </c>
      <c r="F608" s="3177">
        <v>606</v>
      </c>
      <c r="G608" s="3175" t="s">
        <v>3999</v>
      </c>
      <c r="H608" s="3178">
        <v>-2001</v>
      </c>
      <c r="I608" s="3179">
        <v>8.2899999999999991</v>
      </c>
      <c r="J608" s="3179">
        <v>2.61</v>
      </c>
      <c r="L608" s="3177">
        <v>606</v>
      </c>
      <c r="M608" s="3175">
        <v>-10606</v>
      </c>
      <c r="N608" s="3175" t="s">
        <v>3423</v>
      </c>
      <c r="O608" s="3176">
        <v>23.43</v>
      </c>
      <c r="P608" s="3176">
        <v>7.38</v>
      </c>
    </row>
    <row r="609" spans="1:16" ht="15" thickBot="1">
      <c r="A609" s="3174">
        <v>607</v>
      </c>
      <c r="B609" s="3175" t="s">
        <v>4040</v>
      </c>
      <c r="C609" s="3176">
        <v>88.83</v>
      </c>
      <c r="D609" s="3176">
        <v>27.97</v>
      </c>
      <c r="F609" s="3177">
        <v>607</v>
      </c>
      <c r="G609" s="3175" t="s">
        <v>3999</v>
      </c>
      <c r="H609" s="3178">
        <v>-2002</v>
      </c>
      <c r="I609" s="3179">
        <v>8.2899999999999991</v>
      </c>
      <c r="J609" s="3179">
        <v>2.61</v>
      </c>
      <c r="L609" s="3177">
        <v>607</v>
      </c>
      <c r="M609" s="3175">
        <v>-10607</v>
      </c>
      <c r="N609" s="3175" t="s">
        <v>3423</v>
      </c>
      <c r="O609" s="3176">
        <v>23.43</v>
      </c>
      <c r="P609" s="3176">
        <v>7.38</v>
      </c>
    </row>
    <row r="610" spans="1:16" ht="15" thickBot="1">
      <c r="A610" s="3174">
        <v>608</v>
      </c>
      <c r="B610" s="3175" t="s">
        <v>4041</v>
      </c>
      <c r="C610" s="3176">
        <v>112.42</v>
      </c>
      <c r="D610" s="3176">
        <v>35.39</v>
      </c>
      <c r="F610" s="3177">
        <v>608</v>
      </c>
      <c r="G610" s="3175" t="s">
        <v>3999</v>
      </c>
      <c r="H610" s="3178">
        <v>-2003</v>
      </c>
      <c r="I610" s="3179">
        <v>10.75</v>
      </c>
      <c r="J610" s="3179">
        <v>3.38</v>
      </c>
      <c r="L610" s="3177">
        <v>608</v>
      </c>
      <c r="M610" s="3175">
        <v>-10608</v>
      </c>
      <c r="N610" s="3175" t="s">
        <v>3423</v>
      </c>
      <c r="O610" s="3176">
        <v>23.43</v>
      </c>
      <c r="P610" s="3176">
        <v>7.38</v>
      </c>
    </row>
    <row r="611" spans="1:16" ht="15" thickBot="1">
      <c r="A611" s="3174">
        <v>609</v>
      </c>
      <c r="B611" s="3175" t="s">
        <v>4042</v>
      </c>
      <c r="C611" s="3176">
        <v>89.11</v>
      </c>
      <c r="D611" s="3176">
        <v>28.06</v>
      </c>
      <c r="F611" s="3177">
        <v>609</v>
      </c>
      <c r="G611" s="3175" t="s">
        <v>3999</v>
      </c>
      <c r="H611" s="3178">
        <v>-2004</v>
      </c>
      <c r="I611" s="3179">
        <v>14.47</v>
      </c>
      <c r="J611" s="3179">
        <v>4.5599999999999996</v>
      </c>
      <c r="L611" s="3177">
        <v>609</v>
      </c>
      <c r="M611" s="3175">
        <v>-10609</v>
      </c>
      <c r="N611" s="3175" t="s">
        <v>3423</v>
      </c>
      <c r="O611" s="3176">
        <v>23.43</v>
      </c>
      <c r="P611" s="3176">
        <v>7.38</v>
      </c>
    </row>
    <row r="612" spans="1:16" ht="15" thickBot="1">
      <c r="A612" s="3174">
        <v>610</v>
      </c>
      <c r="B612" s="3175" t="s">
        <v>4043</v>
      </c>
      <c r="C612" s="3176">
        <v>88.83</v>
      </c>
      <c r="D612" s="3176">
        <v>27.97</v>
      </c>
      <c r="F612" s="3177">
        <v>610</v>
      </c>
      <c r="G612" s="3175" t="s">
        <v>3999</v>
      </c>
      <c r="H612" s="3178">
        <v>-2005</v>
      </c>
      <c r="I612" s="3179">
        <v>6.73</v>
      </c>
      <c r="J612" s="3179">
        <v>2.12</v>
      </c>
      <c r="L612" s="3177">
        <v>610</v>
      </c>
      <c r="M612" s="3175">
        <v>-10610</v>
      </c>
      <c r="N612" s="3175" t="s">
        <v>3423</v>
      </c>
      <c r="O612" s="3176">
        <v>23.43</v>
      </c>
      <c r="P612" s="3176">
        <v>7.38</v>
      </c>
    </row>
    <row r="613" spans="1:16" ht="15" thickBot="1">
      <c r="A613" s="3174">
        <v>611</v>
      </c>
      <c r="B613" s="3175" t="s">
        <v>4044</v>
      </c>
      <c r="C613" s="3176">
        <v>88.83</v>
      </c>
      <c r="D613" s="3176">
        <v>27.97</v>
      </c>
      <c r="F613" s="3177">
        <v>611</v>
      </c>
      <c r="G613" s="3175" t="s">
        <v>3999</v>
      </c>
      <c r="H613" s="3178">
        <v>-2006</v>
      </c>
      <c r="I613" s="3179">
        <v>6.55</v>
      </c>
      <c r="J613" s="3179">
        <v>2.06</v>
      </c>
      <c r="L613" s="3177">
        <v>611</v>
      </c>
      <c r="M613" s="3175">
        <v>-10611</v>
      </c>
      <c r="N613" s="3175" t="s">
        <v>3423</v>
      </c>
      <c r="O613" s="3176">
        <v>23.43</v>
      </c>
      <c r="P613" s="3176">
        <v>7.38</v>
      </c>
    </row>
    <row r="614" spans="1:16" ht="15" thickBot="1">
      <c r="A614" s="3174">
        <v>612</v>
      </c>
      <c r="B614" s="3175" t="s">
        <v>4045</v>
      </c>
      <c r="C614" s="3176">
        <v>112.42</v>
      </c>
      <c r="D614" s="3176">
        <v>35.39</v>
      </c>
      <c r="F614" s="3177">
        <v>612</v>
      </c>
      <c r="G614" s="3175" t="s">
        <v>3999</v>
      </c>
      <c r="H614" s="3178">
        <v>-2007</v>
      </c>
      <c r="I614" s="3179">
        <v>4.9800000000000004</v>
      </c>
      <c r="J614" s="3179">
        <v>1.57</v>
      </c>
      <c r="L614" s="3177">
        <v>612</v>
      </c>
      <c r="M614" s="3175">
        <v>-10612</v>
      </c>
      <c r="N614" s="3175" t="s">
        <v>3423</v>
      </c>
      <c r="O614" s="3176">
        <v>23.43</v>
      </c>
      <c r="P614" s="3176">
        <v>7.38</v>
      </c>
    </row>
    <row r="615" spans="1:16" ht="15" thickBot="1">
      <c r="A615" s="3174">
        <v>613</v>
      </c>
      <c r="B615" s="3175" t="s">
        <v>4046</v>
      </c>
      <c r="C615" s="3176">
        <v>88.25</v>
      </c>
      <c r="D615" s="3176">
        <v>27.78</v>
      </c>
      <c r="F615" s="3177">
        <v>613</v>
      </c>
      <c r="G615" s="3175" t="s">
        <v>3999</v>
      </c>
      <c r="H615" s="3178">
        <v>-2008</v>
      </c>
      <c r="I615" s="3179">
        <v>5.65</v>
      </c>
      <c r="J615" s="3179">
        <v>1.78</v>
      </c>
      <c r="L615" s="3177">
        <v>613</v>
      </c>
      <c r="M615" s="3175">
        <v>-10613</v>
      </c>
      <c r="N615" s="3175" t="s">
        <v>3423</v>
      </c>
      <c r="O615" s="3176">
        <v>23.43</v>
      </c>
      <c r="P615" s="3176">
        <v>7.38</v>
      </c>
    </row>
    <row r="616" spans="1:16" ht="15" thickBot="1">
      <c r="A616" s="3174">
        <v>614</v>
      </c>
      <c r="B616" s="3175" t="s">
        <v>4047</v>
      </c>
      <c r="C616" s="3176">
        <v>88.83</v>
      </c>
      <c r="D616" s="3176">
        <v>27.97</v>
      </c>
      <c r="F616" s="3177">
        <v>614</v>
      </c>
      <c r="G616" s="3175" t="s">
        <v>3999</v>
      </c>
      <c r="H616" s="3178">
        <v>-2009</v>
      </c>
      <c r="I616" s="3179">
        <v>11.07</v>
      </c>
      <c r="J616" s="3179">
        <v>3.49</v>
      </c>
      <c r="L616" s="3177">
        <v>614</v>
      </c>
      <c r="M616" s="3175">
        <v>-10614</v>
      </c>
      <c r="N616" s="3175" t="s">
        <v>3423</v>
      </c>
      <c r="O616" s="3176">
        <v>23.43</v>
      </c>
      <c r="P616" s="3176">
        <v>7.38</v>
      </c>
    </row>
    <row r="617" spans="1:16" ht="15" thickBot="1">
      <c r="A617" s="3174">
        <v>615</v>
      </c>
      <c r="B617" s="3175" t="s">
        <v>4048</v>
      </c>
      <c r="C617" s="3176">
        <v>88.83</v>
      </c>
      <c r="D617" s="3176">
        <v>27.97</v>
      </c>
      <c r="F617" s="3177">
        <v>615</v>
      </c>
      <c r="G617" s="3175" t="s">
        <v>3999</v>
      </c>
      <c r="H617" s="3178">
        <v>-2010</v>
      </c>
      <c r="I617" s="3179">
        <v>10.77</v>
      </c>
      <c r="J617" s="3179">
        <v>3.39</v>
      </c>
      <c r="L617" s="3177">
        <v>615</v>
      </c>
      <c r="M617" s="3175">
        <v>-10615</v>
      </c>
      <c r="N617" s="3175" t="s">
        <v>3423</v>
      </c>
      <c r="O617" s="3176">
        <v>23.43</v>
      </c>
      <c r="P617" s="3176">
        <v>7.38</v>
      </c>
    </row>
    <row r="618" spans="1:16" ht="15" thickBot="1">
      <c r="A618" s="3174">
        <v>616</v>
      </c>
      <c r="B618" s="3175" t="s">
        <v>4049</v>
      </c>
      <c r="C618" s="3176">
        <v>112.27</v>
      </c>
      <c r="D618" s="3176">
        <v>35.35</v>
      </c>
      <c r="F618" s="3177">
        <v>616</v>
      </c>
      <c r="G618" s="3175" t="s">
        <v>3999</v>
      </c>
      <c r="H618" s="3178">
        <v>-2011</v>
      </c>
      <c r="I618" s="3179">
        <v>8.31</v>
      </c>
      <c r="J618" s="3179">
        <v>2.62</v>
      </c>
      <c r="L618" s="3177">
        <v>616</v>
      </c>
      <c r="M618" s="3175">
        <v>-10616</v>
      </c>
      <c r="N618" s="3175" t="s">
        <v>3423</v>
      </c>
      <c r="O618" s="3176">
        <v>23.43</v>
      </c>
      <c r="P618" s="3176">
        <v>7.38</v>
      </c>
    </row>
    <row r="619" spans="1:16" ht="15" thickBot="1">
      <c r="A619" s="3174">
        <v>617</v>
      </c>
      <c r="B619" s="3175" t="s">
        <v>4050</v>
      </c>
      <c r="C619" s="3176">
        <v>88.25</v>
      </c>
      <c r="D619" s="3176">
        <v>27.78</v>
      </c>
      <c r="F619" s="3177">
        <v>617</v>
      </c>
      <c r="G619" s="3175" t="s">
        <v>3999</v>
      </c>
      <c r="H619" s="3178">
        <v>-2012</v>
      </c>
      <c r="I619" s="3179">
        <v>10.15</v>
      </c>
      <c r="J619" s="3179">
        <v>3.2</v>
      </c>
      <c r="L619" s="3177">
        <v>617</v>
      </c>
      <c r="M619" s="3175">
        <v>-10617</v>
      </c>
      <c r="N619" s="3175" t="s">
        <v>3423</v>
      </c>
      <c r="O619" s="3176">
        <v>23.43</v>
      </c>
      <c r="P619" s="3176">
        <v>7.38</v>
      </c>
    </row>
    <row r="620" spans="1:16" ht="15" thickBot="1">
      <c r="A620" s="3174">
        <v>618</v>
      </c>
      <c r="B620" s="3175" t="s">
        <v>4051</v>
      </c>
      <c r="C620" s="3176">
        <v>88.83</v>
      </c>
      <c r="D620" s="3176">
        <v>27.97</v>
      </c>
      <c r="F620" s="3177">
        <v>618</v>
      </c>
      <c r="G620" s="3175" t="s">
        <v>3999</v>
      </c>
      <c r="H620" s="3178">
        <v>-2013</v>
      </c>
      <c r="I620" s="3179">
        <v>10.15</v>
      </c>
      <c r="J620" s="3179">
        <v>3.2</v>
      </c>
      <c r="L620" s="3177">
        <v>618</v>
      </c>
      <c r="M620" s="3175">
        <v>-10618</v>
      </c>
      <c r="N620" s="3175" t="s">
        <v>3423</v>
      </c>
      <c r="O620" s="3176">
        <v>23.43</v>
      </c>
      <c r="P620" s="3176">
        <v>7.38</v>
      </c>
    </row>
    <row r="621" spans="1:16" ht="15" thickBot="1">
      <c r="A621" s="3174">
        <v>619</v>
      </c>
      <c r="B621" s="3175" t="s">
        <v>4052</v>
      </c>
      <c r="C621" s="3176">
        <v>88.83</v>
      </c>
      <c r="D621" s="3176">
        <v>27.97</v>
      </c>
      <c r="F621" s="3177">
        <v>619</v>
      </c>
      <c r="G621" s="3175" t="s">
        <v>3999</v>
      </c>
      <c r="H621" s="3178">
        <v>-2014</v>
      </c>
      <c r="I621" s="3179">
        <v>10.15</v>
      </c>
      <c r="J621" s="3179">
        <v>3.2</v>
      </c>
      <c r="L621" s="3177">
        <v>619</v>
      </c>
      <c r="M621" s="3175">
        <v>-10619</v>
      </c>
      <c r="N621" s="3175" t="s">
        <v>3423</v>
      </c>
      <c r="O621" s="3176">
        <v>23.43</v>
      </c>
      <c r="P621" s="3176">
        <v>7.38</v>
      </c>
    </row>
    <row r="622" spans="1:16" ht="15" thickBot="1">
      <c r="A622" s="3174">
        <v>620</v>
      </c>
      <c r="B622" s="3175" t="s">
        <v>4053</v>
      </c>
      <c r="C622" s="3176">
        <v>112.27</v>
      </c>
      <c r="D622" s="3176">
        <v>35.35</v>
      </c>
      <c r="F622" s="3177">
        <v>620</v>
      </c>
      <c r="G622" s="3175" t="s">
        <v>3999</v>
      </c>
      <c r="H622" s="3178">
        <v>-2015</v>
      </c>
      <c r="I622" s="3179">
        <v>10.15</v>
      </c>
      <c r="J622" s="3179">
        <v>3.2</v>
      </c>
      <c r="L622" s="3177">
        <v>620</v>
      </c>
      <c r="M622" s="3175">
        <v>-10620</v>
      </c>
      <c r="N622" s="3175" t="s">
        <v>3423</v>
      </c>
      <c r="O622" s="3176">
        <v>23.43</v>
      </c>
      <c r="P622" s="3176">
        <v>7.38</v>
      </c>
    </row>
    <row r="623" spans="1:16" ht="15" thickBot="1">
      <c r="A623" s="3174">
        <v>621</v>
      </c>
      <c r="B623" s="3175" t="s">
        <v>4054</v>
      </c>
      <c r="C623" s="3176">
        <v>88.25</v>
      </c>
      <c r="D623" s="3176">
        <v>27.78</v>
      </c>
      <c r="F623" s="3177">
        <v>621</v>
      </c>
      <c r="G623" s="3175" t="s">
        <v>3999</v>
      </c>
      <c r="H623" s="3178">
        <v>-2016</v>
      </c>
      <c r="I623" s="3179">
        <v>10.15</v>
      </c>
      <c r="J623" s="3179">
        <v>3.2</v>
      </c>
      <c r="L623" s="3177">
        <v>621</v>
      </c>
      <c r="M623" s="3175">
        <v>-10621</v>
      </c>
      <c r="N623" s="3175" t="s">
        <v>3423</v>
      </c>
      <c r="O623" s="3176">
        <v>23.43</v>
      </c>
      <c r="P623" s="3176">
        <v>7.38</v>
      </c>
    </row>
    <row r="624" spans="1:16" ht="15" thickBot="1">
      <c r="A624" s="3174">
        <v>622</v>
      </c>
      <c r="B624" s="3175" t="s">
        <v>4055</v>
      </c>
      <c r="C624" s="3176">
        <v>88.83</v>
      </c>
      <c r="D624" s="3176">
        <v>27.97</v>
      </c>
      <c r="F624" s="3177">
        <v>622</v>
      </c>
      <c r="G624" s="3175" t="s">
        <v>3999</v>
      </c>
      <c r="H624" s="3178">
        <v>-2017</v>
      </c>
      <c r="I624" s="3179">
        <v>10.15</v>
      </c>
      <c r="J624" s="3179">
        <v>3.2</v>
      </c>
      <c r="L624" s="3177">
        <v>622</v>
      </c>
      <c r="M624" s="3175">
        <v>-10622</v>
      </c>
      <c r="N624" s="3175" t="s">
        <v>3423</v>
      </c>
      <c r="O624" s="3176">
        <v>23.43</v>
      </c>
      <c r="P624" s="3176">
        <v>7.38</v>
      </c>
    </row>
    <row r="625" spans="1:16" ht="15" thickBot="1">
      <c r="A625" s="3174">
        <v>623</v>
      </c>
      <c r="B625" s="3175" t="s">
        <v>4056</v>
      </c>
      <c r="C625" s="3176">
        <v>88.83</v>
      </c>
      <c r="D625" s="3176">
        <v>27.97</v>
      </c>
      <c r="F625" s="3177">
        <v>623</v>
      </c>
      <c r="G625" s="3175" t="s">
        <v>3999</v>
      </c>
      <c r="H625" s="3178">
        <v>-2018</v>
      </c>
      <c r="I625" s="3179">
        <v>10.15</v>
      </c>
      <c r="J625" s="3179">
        <v>3.2</v>
      </c>
      <c r="L625" s="3177">
        <v>623</v>
      </c>
      <c r="M625" s="3175">
        <v>-10623</v>
      </c>
      <c r="N625" s="3175" t="s">
        <v>3423</v>
      </c>
      <c r="O625" s="3176">
        <v>23.43</v>
      </c>
      <c r="P625" s="3176">
        <v>7.38</v>
      </c>
    </row>
    <row r="626" spans="1:16" ht="15" thickBot="1">
      <c r="A626" s="3174">
        <v>624</v>
      </c>
      <c r="B626" s="3175" t="s">
        <v>4057</v>
      </c>
      <c r="C626" s="3176">
        <v>112.27</v>
      </c>
      <c r="D626" s="3176">
        <v>35.35</v>
      </c>
      <c r="F626" s="3177">
        <v>624</v>
      </c>
      <c r="G626" s="3175" t="s">
        <v>3999</v>
      </c>
      <c r="H626" s="3178">
        <v>-2019</v>
      </c>
      <c r="I626" s="3179">
        <v>10.15</v>
      </c>
      <c r="J626" s="3179">
        <v>3.2</v>
      </c>
      <c r="L626" s="3177">
        <v>624</v>
      </c>
      <c r="M626" s="3175">
        <v>-10624</v>
      </c>
      <c r="N626" s="3175" t="s">
        <v>3423</v>
      </c>
      <c r="O626" s="3176">
        <v>23.43</v>
      </c>
      <c r="P626" s="3176">
        <v>7.38</v>
      </c>
    </row>
    <row r="627" spans="1:16" ht="15" thickBot="1">
      <c r="A627" s="3174">
        <v>625</v>
      </c>
      <c r="B627" s="3175" t="s">
        <v>4058</v>
      </c>
      <c r="C627" s="3176">
        <v>88.25</v>
      </c>
      <c r="D627" s="3176">
        <v>27.78</v>
      </c>
      <c r="F627" s="3177">
        <v>625</v>
      </c>
      <c r="G627" s="3175" t="s">
        <v>3999</v>
      </c>
      <c r="H627" s="3178">
        <v>-2020</v>
      </c>
      <c r="I627" s="3179">
        <v>8.31</v>
      </c>
      <c r="J627" s="3179">
        <v>2.62</v>
      </c>
      <c r="L627" s="3177">
        <v>625</v>
      </c>
      <c r="M627" s="3175">
        <v>-10625</v>
      </c>
      <c r="N627" s="3175" t="s">
        <v>3423</v>
      </c>
      <c r="O627" s="3176">
        <v>23.43</v>
      </c>
      <c r="P627" s="3176">
        <v>7.38</v>
      </c>
    </row>
    <row r="628" spans="1:16" ht="15" thickBot="1">
      <c r="A628" s="3174">
        <v>626</v>
      </c>
      <c r="B628" s="3175" t="s">
        <v>4059</v>
      </c>
      <c r="C628" s="3176">
        <v>88.83</v>
      </c>
      <c r="D628" s="3176">
        <v>27.97</v>
      </c>
      <c r="F628" s="3177">
        <v>626</v>
      </c>
      <c r="G628" s="3175" t="s">
        <v>3999</v>
      </c>
      <c r="H628" s="3178">
        <v>-2021</v>
      </c>
      <c r="I628" s="3179">
        <v>10.77</v>
      </c>
      <c r="J628" s="3179">
        <v>3.39</v>
      </c>
      <c r="L628" s="3177">
        <v>626</v>
      </c>
      <c r="M628" s="3175">
        <v>-10626</v>
      </c>
      <c r="N628" s="3175" t="s">
        <v>3423</v>
      </c>
      <c r="O628" s="3176">
        <v>23.43</v>
      </c>
      <c r="P628" s="3176">
        <v>7.38</v>
      </c>
    </row>
    <row r="629" spans="1:16" ht="15" thickBot="1">
      <c r="A629" s="3174">
        <v>627</v>
      </c>
      <c r="B629" s="3175" t="s">
        <v>4060</v>
      </c>
      <c r="C629" s="3176">
        <v>88.83</v>
      </c>
      <c r="D629" s="3176">
        <v>27.97</v>
      </c>
      <c r="F629" s="3177">
        <v>627</v>
      </c>
      <c r="G629" s="3175" t="s">
        <v>3999</v>
      </c>
      <c r="H629" s="3178">
        <v>-2022</v>
      </c>
      <c r="I629" s="3179">
        <v>11.07</v>
      </c>
      <c r="J629" s="3179">
        <v>3.49</v>
      </c>
      <c r="L629" s="3177">
        <v>627</v>
      </c>
      <c r="M629" s="3175">
        <v>-10627</v>
      </c>
      <c r="N629" s="3175" t="s">
        <v>3423</v>
      </c>
      <c r="O629" s="3176">
        <v>23.43</v>
      </c>
      <c r="P629" s="3176">
        <v>7.38</v>
      </c>
    </row>
    <row r="630" spans="1:16" ht="15" thickBot="1">
      <c r="A630" s="3174">
        <v>628</v>
      </c>
      <c r="B630" s="3175" t="s">
        <v>4061</v>
      </c>
      <c r="C630" s="3176">
        <v>112.27</v>
      </c>
      <c r="D630" s="3176">
        <v>35.35</v>
      </c>
      <c r="F630" s="3177">
        <v>628</v>
      </c>
      <c r="G630" s="3175" t="s">
        <v>3999</v>
      </c>
      <c r="H630" s="3178">
        <v>-2023</v>
      </c>
      <c r="I630" s="3179">
        <v>9.4700000000000006</v>
      </c>
      <c r="J630" s="3179">
        <v>2.98</v>
      </c>
      <c r="L630" s="3177">
        <v>628</v>
      </c>
      <c r="M630" s="3175">
        <v>-10628</v>
      </c>
      <c r="N630" s="3175" t="s">
        <v>3423</v>
      </c>
      <c r="O630" s="3176">
        <v>23.43</v>
      </c>
      <c r="P630" s="3176">
        <v>7.38</v>
      </c>
    </row>
    <row r="631" spans="1:16" ht="15" thickBot="1">
      <c r="A631" s="3174">
        <v>629</v>
      </c>
      <c r="B631" s="3175" t="s">
        <v>4062</v>
      </c>
      <c r="C631" s="3176">
        <v>88.25</v>
      </c>
      <c r="D631" s="3176">
        <v>27.78</v>
      </c>
      <c r="F631" s="3177">
        <v>629</v>
      </c>
      <c r="G631" s="3175" t="s">
        <v>3999</v>
      </c>
      <c r="H631" s="3178">
        <v>-2024</v>
      </c>
      <c r="I631" s="3179">
        <v>6.03</v>
      </c>
      <c r="J631" s="3179">
        <v>1.9</v>
      </c>
      <c r="L631" s="3177">
        <v>629</v>
      </c>
      <c r="M631" s="3175">
        <v>-10629</v>
      </c>
      <c r="N631" s="3175" t="s">
        <v>3423</v>
      </c>
      <c r="O631" s="3176">
        <v>23.43</v>
      </c>
      <c r="P631" s="3176">
        <v>7.38</v>
      </c>
    </row>
    <row r="632" spans="1:16" ht="15" thickBot="1">
      <c r="A632" s="3174">
        <v>630</v>
      </c>
      <c r="B632" s="3175" t="s">
        <v>4063</v>
      </c>
      <c r="C632" s="3176">
        <v>88.83</v>
      </c>
      <c r="D632" s="3176">
        <v>27.97</v>
      </c>
      <c r="F632" s="3177">
        <v>630</v>
      </c>
      <c r="G632" s="3175" t="s">
        <v>3999</v>
      </c>
      <c r="H632" s="3178">
        <v>-2025</v>
      </c>
      <c r="I632" s="3179">
        <v>8.2100000000000009</v>
      </c>
      <c r="J632" s="3179">
        <v>2.58</v>
      </c>
      <c r="L632" s="3177">
        <v>630</v>
      </c>
      <c r="M632" s="3175">
        <v>-10630</v>
      </c>
      <c r="N632" s="3175" t="s">
        <v>3423</v>
      </c>
      <c r="O632" s="3176">
        <v>23.43</v>
      </c>
      <c r="P632" s="3176">
        <v>7.38</v>
      </c>
    </row>
    <row r="633" spans="1:16" ht="15" thickBot="1">
      <c r="A633" s="3174">
        <v>631</v>
      </c>
      <c r="B633" s="3175" t="s">
        <v>4064</v>
      </c>
      <c r="C633" s="3176">
        <v>88.83</v>
      </c>
      <c r="D633" s="3176">
        <v>27.97</v>
      </c>
      <c r="F633" s="3177">
        <v>631</v>
      </c>
      <c r="G633" s="3175" t="s">
        <v>3999</v>
      </c>
      <c r="H633" s="3178">
        <v>-2026</v>
      </c>
      <c r="I633" s="3179">
        <v>8.27</v>
      </c>
      <c r="J633" s="3179">
        <v>2.6</v>
      </c>
      <c r="L633" s="3177">
        <v>631</v>
      </c>
      <c r="M633" s="3175">
        <v>-10631</v>
      </c>
      <c r="N633" s="3175" t="s">
        <v>3423</v>
      </c>
      <c r="O633" s="3176">
        <v>23.43</v>
      </c>
      <c r="P633" s="3176">
        <v>7.38</v>
      </c>
    </row>
    <row r="634" spans="1:16" ht="15" thickBot="1">
      <c r="A634" s="3174">
        <v>632</v>
      </c>
      <c r="B634" s="3175" t="s">
        <v>4065</v>
      </c>
      <c r="C634" s="3176">
        <v>112.27</v>
      </c>
      <c r="D634" s="3176">
        <v>35.35</v>
      </c>
      <c r="F634" s="3177">
        <v>632</v>
      </c>
      <c r="G634" s="3175" t="s">
        <v>3999</v>
      </c>
      <c r="H634" s="3178">
        <v>-2027</v>
      </c>
      <c r="I634" s="3179">
        <v>6.06</v>
      </c>
      <c r="J634" s="3179">
        <v>1.91</v>
      </c>
      <c r="L634" s="3177">
        <v>632</v>
      </c>
      <c r="M634" s="3175">
        <v>-10632</v>
      </c>
      <c r="N634" s="3175" t="s">
        <v>3423</v>
      </c>
      <c r="O634" s="3176">
        <v>23.43</v>
      </c>
      <c r="P634" s="3176">
        <v>7.38</v>
      </c>
    </row>
    <row r="635" spans="1:16" ht="15" thickBot="1">
      <c r="A635" s="3174">
        <v>633</v>
      </c>
      <c r="B635" s="3175" t="s">
        <v>4066</v>
      </c>
      <c r="C635" s="3176">
        <v>88.25</v>
      </c>
      <c r="D635" s="3176">
        <v>27.78</v>
      </c>
      <c r="F635" s="3177">
        <v>633</v>
      </c>
      <c r="G635" s="3175" t="s">
        <v>3999</v>
      </c>
      <c r="H635" s="3178">
        <v>-2028</v>
      </c>
      <c r="I635" s="3179">
        <v>10.7</v>
      </c>
      <c r="J635" s="3179">
        <v>3.37</v>
      </c>
      <c r="L635" s="3177">
        <v>633</v>
      </c>
      <c r="M635" s="3175">
        <v>-10633</v>
      </c>
      <c r="N635" s="3175" t="s">
        <v>3423</v>
      </c>
      <c r="O635" s="3176">
        <v>23.43</v>
      </c>
      <c r="P635" s="3176">
        <v>7.38</v>
      </c>
    </row>
    <row r="636" spans="1:16" ht="15" thickBot="1">
      <c r="A636" s="3174">
        <v>634</v>
      </c>
      <c r="B636" s="3175" t="s">
        <v>4067</v>
      </c>
      <c r="C636" s="3176">
        <v>88.83</v>
      </c>
      <c r="D636" s="3176">
        <v>27.97</v>
      </c>
      <c r="F636" s="3177">
        <v>634</v>
      </c>
      <c r="G636" s="3175" t="s">
        <v>3999</v>
      </c>
      <c r="H636" s="3178">
        <v>-2029</v>
      </c>
      <c r="I636" s="3179">
        <v>10.15</v>
      </c>
      <c r="J636" s="3179">
        <v>3.2</v>
      </c>
      <c r="L636" s="3177">
        <v>634</v>
      </c>
      <c r="M636" s="3175">
        <v>-10634</v>
      </c>
      <c r="N636" s="3175" t="s">
        <v>3423</v>
      </c>
      <c r="O636" s="3176">
        <v>23.43</v>
      </c>
      <c r="P636" s="3176">
        <v>7.38</v>
      </c>
    </row>
    <row r="637" spans="1:16" ht="15" thickBot="1">
      <c r="A637" s="3174">
        <v>635</v>
      </c>
      <c r="B637" s="3175" t="s">
        <v>4068</v>
      </c>
      <c r="C637" s="3176">
        <v>88.83</v>
      </c>
      <c r="D637" s="3176">
        <v>27.97</v>
      </c>
      <c r="F637" s="3177">
        <v>635</v>
      </c>
      <c r="G637" s="3175" t="s">
        <v>3999</v>
      </c>
      <c r="H637" s="3178">
        <v>-2030</v>
      </c>
      <c r="I637" s="3179">
        <v>10.15</v>
      </c>
      <c r="J637" s="3179">
        <v>3.2</v>
      </c>
      <c r="L637" s="3177">
        <v>635</v>
      </c>
      <c r="M637" s="3175">
        <v>-10635</v>
      </c>
      <c r="N637" s="3175" t="s">
        <v>3423</v>
      </c>
      <c r="O637" s="3176">
        <v>23.43</v>
      </c>
      <c r="P637" s="3176">
        <v>7.38</v>
      </c>
    </row>
    <row r="638" spans="1:16" ht="15" thickBot="1">
      <c r="A638" s="3174">
        <v>636</v>
      </c>
      <c r="B638" s="3175" t="s">
        <v>4069</v>
      </c>
      <c r="C638" s="3176">
        <v>112.27</v>
      </c>
      <c r="D638" s="3176">
        <v>35.35</v>
      </c>
      <c r="F638" s="3177">
        <v>636</v>
      </c>
      <c r="G638" s="3175" t="s">
        <v>3999</v>
      </c>
      <c r="H638" s="3178">
        <v>-2031</v>
      </c>
      <c r="I638" s="3179">
        <v>10.77</v>
      </c>
      <c r="J638" s="3179">
        <v>3.39</v>
      </c>
      <c r="L638" s="3177">
        <v>636</v>
      </c>
      <c r="M638" s="3175">
        <v>-10636</v>
      </c>
      <c r="N638" s="3175" t="s">
        <v>3423</v>
      </c>
      <c r="O638" s="3176">
        <v>23.43</v>
      </c>
      <c r="P638" s="3176">
        <v>7.38</v>
      </c>
    </row>
    <row r="639" spans="1:16" ht="15" thickBot="1">
      <c r="A639" s="3174">
        <v>637</v>
      </c>
      <c r="B639" s="3175" t="s">
        <v>4070</v>
      </c>
      <c r="C639" s="3176">
        <v>88.25</v>
      </c>
      <c r="D639" s="3176">
        <v>27.78</v>
      </c>
      <c r="F639" s="3177">
        <v>637</v>
      </c>
      <c r="G639" s="3175" t="s">
        <v>3999</v>
      </c>
      <c r="H639" s="3178">
        <v>-2032</v>
      </c>
      <c r="I639" s="3179">
        <v>10.45</v>
      </c>
      <c r="J639" s="3179">
        <v>3.29</v>
      </c>
      <c r="L639" s="3177">
        <v>637</v>
      </c>
      <c r="M639" s="3175">
        <v>-10637</v>
      </c>
      <c r="N639" s="3175" t="s">
        <v>3423</v>
      </c>
      <c r="O639" s="3176">
        <v>23.43</v>
      </c>
      <c r="P639" s="3176">
        <v>7.38</v>
      </c>
    </row>
    <row r="640" spans="1:16" ht="15" thickBot="1">
      <c r="A640" s="3174">
        <v>638</v>
      </c>
      <c r="B640" s="3175" t="s">
        <v>4071</v>
      </c>
      <c r="C640" s="3176">
        <v>88.83</v>
      </c>
      <c r="D640" s="3176">
        <v>27.97</v>
      </c>
      <c r="F640" s="3177">
        <v>638</v>
      </c>
      <c r="G640" s="3175" t="s">
        <v>3999</v>
      </c>
      <c r="H640" s="3178">
        <v>-2033</v>
      </c>
      <c r="I640" s="3179">
        <v>8.92</v>
      </c>
      <c r="J640" s="3179">
        <v>2.81</v>
      </c>
      <c r="L640" s="3177">
        <v>638</v>
      </c>
      <c r="M640" s="3175">
        <v>-10638</v>
      </c>
      <c r="N640" s="3175" t="s">
        <v>3423</v>
      </c>
      <c r="O640" s="3176">
        <v>23.43</v>
      </c>
      <c r="P640" s="3176">
        <v>7.38</v>
      </c>
    </row>
    <row r="641" spans="1:16" ht="15" thickBot="1">
      <c r="A641" s="3174">
        <v>639</v>
      </c>
      <c r="B641" s="3175" t="s">
        <v>4072</v>
      </c>
      <c r="C641" s="3176">
        <v>88.83</v>
      </c>
      <c r="D641" s="3176">
        <v>27.97</v>
      </c>
      <c r="F641" s="3177">
        <v>639</v>
      </c>
      <c r="G641" s="3175" t="s">
        <v>3999</v>
      </c>
      <c r="H641" s="3178">
        <v>-2034</v>
      </c>
      <c r="I641" s="3179">
        <v>9.32</v>
      </c>
      <c r="J641" s="3179">
        <v>2.93</v>
      </c>
      <c r="L641" s="3177">
        <v>639</v>
      </c>
      <c r="M641" s="3175">
        <v>-10639</v>
      </c>
      <c r="N641" s="3175" t="s">
        <v>3423</v>
      </c>
      <c r="O641" s="3176">
        <v>23.43</v>
      </c>
      <c r="P641" s="3176">
        <v>7.38</v>
      </c>
    </row>
    <row r="642" spans="1:16" ht="15" thickBot="1">
      <c r="A642" s="3174">
        <v>640</v>
      </c>
      <c r="B642" s="3175" t="s">
        <v>4073</v>
      </c>
      <c r="C642" s="3176">
        <v>112.27</v>
      </c>
      <c r="D642" s="3176">
        <v>35.35</v>
      </c>
      <c r="F642" s="3177">
        <v>640</v>
      </c>
      <c r="G642" s="3175" t="s">
        <v>3999</v>
      </c>
      <c r="H642" s="3178">
        <v>-2035</v>
      </c>
      <c r="I642" s="3179">
        <v>8.2200000000000006</v>
      </c>
      <c r="J642" s="3179">
        <v>2.59</v>
      </c>
      <c r="L642" s="3177">
        <v>640</v>
      </c>
      <c r="M642" s="3175">
        <v>-10640</v>
      </c>
      <c r="N642" s="3175" t="s">
        <v>3423</v>
      </c>
      <c r="O642" s="3176">
        <v>23.43</v>
      </c>
      <c r="P642" s="3176">
        <v>7.38</v>
      </c>
    </row>
    <row r="643" spans="1:16" ht="15" thickBot="1">
      <c r="A643" s="3174">
        <v>641</v>
      </c>
      <c r="B643" s="3175" t="s">
        <v>4074</v>
      </c>
      <c r="C643" s="3176">
        <v>88.25</v>
      </c>
      <c r="D643" s="3176">
        <v>27.78</v>
      </c>
      <c r="F643" s="3177">
        <v>641</v>
      </c>
      <c r="G643" s="3175" t="s">
        <v>3999</v>
      </c>
      <c r="H643" s="3178">
        <v>-2036</v>
      </c>
      <c r="I643" s="3179">
        <v>8.2899999999999991</v>
      </c>
      <c r="J643" s="3179">
        <v>2.61</v>
      </c>
      <c r="L643" s="3177">
        <v>641</v>
      </c>
      <c r="M643" s="3175">
        <v>-10641</v>
      </c>
      <c r="N643" s="3175" t="s">
        <v>3423</v>
      </c>
      <c r="O643" s="3176">
        <v>23.43</v>
      </c>
      <c r="P643" s="3176">
        <v>7.38</v>
      </c>
    </row>
    <row r="644" spans="1:16" ht="15" thickBot="1">
      <c r="A644" s="3174">
        <v>642</v>
      </c>
      <c r="B644" s="3175" t="s">
        <v>4075</v>
      </c>
      <c r="C644" s="3176">
        <v>88.83</v>
      </c>
      <c r="D644" s="3176">
        <v>27.97</v>
      </c>
      <c r="F644" s="3177">
        <v>642</v>
      </c>
      <c r="G644" s="3175" t="s">
        <v>3999</v>
      </c>
      <c r="H644" s="3178">
        <v>-2037</v>
      </c>
      <c r="I644" s="3179">
        <v>8.2899999999999991</v>
      </c>
      <c r="J644" s="3179">
        <v>2.61</v>
      </c>
      <c r="L644" s="3177">
        <v>642</v>
      </c>
      <c r="M644" s="3175">
        <v>-10642</v>
      </c>
      <c r="N644" s="3175" t="s">
        <v>3423</v>
      </c>
      <c r="O644" s="3176">
        <v>23.43</v>
      </c>
      <c r="P644" s="3176">
        <v>7.38</v>
      </c>
    </row>
    <row r="645" spans="1:16" ht="15" thickBot="1">
      <c r="A645" s="3174">
        <v>643</v>
      </c>
      <c r="B645" s="3175" t="s">
        <v>4076</v>
      </c>
      <c r="C645" s="3176">
        <v>88.83</v>
      </c>
      <c r="D645" s="3176">
        <v>27.97</v>
      </c>
      <c r="F645" s="3177">
        <v>643</v>
      </c>
      <c r="G645" s="3175" t="s">
        <v>3999</v>
      </c>
      <c r="H645" s="3178">
        <v>-2038</v>
      </c>
      <c r="I645" s="3179">
        <v>10.75</v>
      </c>
      <c r="J645" s="3179">
        <v>3.38</v>
      </c>
      <c r="L645" s="3177">
        <v>643</v>
      </c>
      <c r="M645" s="3175">
        <v>-10643</v>
      </c>
      <c r="N645" s="3175" t="s">
        <v>3423</v>
      </c>
      <c r="O645" s="3176">
        <v>23.43</v>
      </c>
      <c r="P645" s="3176">
        <v>7.38</v>
      </c>
    </row>
    <row r="646" spans="1:16" ht="15" thickBot="1">
      <c r="A646" s="3174">
        <v>644</v>
      </c>
      <c r="B646" s="3175" t="s">
        <v>4077</v>
      </c>
      <c r="C646" s="3176">
        <v>112.27</v>
      </c>
      <c r="D646" s="3176">
        <v>35.35</v>
      </c>
      <c r="F646" s="3177">
        <v>644</v>
      </c>
      <c r="G646" s="3175" t="s">
        <v>3999</v>
      </c>
      <c r="H646" s="3178">
        <v>-2039</v>
      </c>
      <c r="I646" s="3179">
        <v>14.47</v>
      </c>
      <c r="J646" s="3179">
        <v>4.5599999999999996</v>
      </c>
      <c r="L646" s="3177">
        <v>644</v>
      </c>
      <c r="M646" s="3175">
        <v>-10644</v>
      </c>
      <c r="N646" s="3175" t="s">
        <v>3423</v>
      </c>
      <c r="O646" s="3176">
        <v>23.43</v>
      </c>
      <c r="P646" s="3176">
        <v>7.38</v>
      </c>
    </row>
    <row r="647" spans="1:16" ht="15" thickBot="1">
      <c r="A647" s="3174">
        <v>645</v>
      </c>
      <c r="B647" s="3175" t="s">
        <v>4078</v>
      </c>
      <c r="C647" s="3176">
        <v>88.25</v>
      </c>
      <c r="D647" s="3176">
        <v>27.78</v>
      </c>
      <c r="F647" s="3177">
        <v>645</v>
      </c>
      <c r="G647" s="3175" t="s">
        <v>3999</v>
      </c>
      <c r="H647" s="3178">
        <v>-2040</v>
      </c>
      <c r="I647" s="3179">
        <v>6.73</v>
      </c>
      <c r="J647" s="3179">
        <v>2.12</v>
      </c>
      <c r="L647" s="3177">
        <v>645</v>
      </c>
      <c r="M647" s="3175">
        <v>-10645</v>
      </c>
      <c r="N647" s="3175" t="s">
        <v>3423</v>
      </c>
      <c r="O647" s="3176">
        <v>23.43</v>
      </c>
      <c r="P647" s="3176">
        <v>7.38</v>
      </c>
    </row>
    <row r="648" spans="1:16" ht="15" thickBot="1">
      <c r="A648" s="3174">
        <v>646</v>
      </c>
      <c r="B648" s="3175" t="s">
        <v>4079</v>
      </c>
      <c r="C648" s="3176">
        <v>88.83</v>
      </c>
      <c r="D648" s="3176">
        <v>27.97</v>
      </c>
      <c r="F648" s="3177">
        <v>646</v>
      </c>
      <c r="G648" s="3175" t="s">
        <v>3999</v>
      </c>
      <c r="H648" s="3178">
        <v>-2041</v>
      </c>
      <c r="I648" s="3179">
        <v>6.55</v>
      </c>
      <c r="J648" s="3179">
        <v>2.06</v>
      </c>
      <c r="L648" s="3177">
        <v>646</v>
      </c>
      <c r="M648" s="3175">
        <v>-10646</v>
      </c>
      <c r="N648" s="3175" t="s">
        <v>3423</v>
      </c>
      <c r="O648" s="3176">
        <v>23.43</v>
      </c>
      <c r="P648" s="3176">
        <v>7.38</v>
      </c>
    </row>
    <row r="649" spans="1:16" ht="15" thickBot="1">
      <c r="A649" s="3174">
        <v>647</v>
      </c>
      <c r="B649" s="3175" t="s">
        <v>4080</v>
      </c>
      <c r="C649" s="3176">
        <v>88.83</v>
      </c>
      <c r="D649" s="3176">
        <v>27.97</v>
      </c>
      <c r="F649" s="3177">
        <v>647</v>
      </c>
      <c r="G649" s="3175" t="s">
        <v>3999</v>
      </c>
      <c r="H649" s="3178">
        <v>-2042</v>
      </c>
      <c r="I649" s="3179">
        <v>7.63</v>
      </c>
      <c r="J649" s="3179">
        <v>2.4</v>
      </c>
      <c r="L649" s="3177">
        <v>647</v>
      </c>
      <c r="M649" s="3175">
        <v>-10647</v>
      </c>
      <c r="N649" s="3175" t="s">
        <v>3423</v>
      </c>
      <c r="O649" s="3176">
        <v>23.43</v>
      </c>
      <c r="P649" s="3176">
        <v>7.38</v>
      </c>
    </row>
    <row r="650" spans="1:16" ht="15" thickBot="1">
      <c r="A650" s="3174">
        <v>648</v>
      </c>
      <c r="B650" s="3175" t="s">
        <v>4081</v>
      </c>
      <c r="C650" s="3176">
        <v>112.27</v>
      </c>
      <c r="D650" s="3176">
        <v>35.35</v>
      </c>
      <c r="F650" s="3177">
        <v>648</v>
      </c>
      <c r="G650" s="3175" t="s">
        <v>3999</v>
      </c>
      <c r="H650" s="3178">
        <v>-2043</v>
      </c>
      <c r="I650" s="3179">
        <v>8.07</v>
      </c>
      <c r="J650" s="3179">
        <v>2.54</v>
      </c>
      <c r="L650" s="3177">
        <v>648</v>
      </c>
      <c r="M650" s="3175">
        <v>-10648</v>
      </c>
      <c r="N650" s="3175" t="s">
        <v>3423</v>
      </c>
      <c r="O650" s="3176">
        <v>23.43</v>
      </c>
      <c r="P650" s="3176">
        <v>7.38</v>
      </c>
    </row>
    <row r="651" spans="1:16" ht="15" thickBot="1">
      <c r="A651" s="3174">
        <v>649</v>
      </c>
      <c r="B651" s="3175" t="s">
        <v>4082</v>
      </c>
      <c r="C651" s="3176">
        <v>88.25</v>
      </c>
      <c r="D651" s="3176">
        <v>27.78</v>
      </c>
      <c r="F651" s="3177">
        <v>649</v>
      </c>
      <c r="G651" s="3175" t="s">
        <v>3999</v>
      </c>
      <c r="H651" s="3178">
        <v>-2044</v>
      </c>
      <c r="I651" s="3179">
        <v>7.86</v>
      </c>
      <c r="J651" s="3179">
        <v>2.4700000000000002</v>
      </c>
      <c r="L651" s="3177">
        <v>649</v>
      </c>
      <c r="M651" s="3175">
        <v>-10649</v>
      </c>
      <c r="N651" s="3175" t="s">
        <v>3423</v>
      </c>
      <c r="O651" s="3176">
        <v>23.43</v>
      </c>
      <c r="P651" s="3176">
        <v>7.38</v>
      </c>
    </row>
    <row r="652" spans="1:16" ht="15" thickBot="1">
      <c r="A652" s="3174">
        <v>650</v>
      </c>
      <c r="B652" s="3175" t="s">
        <v>4083</v>
      </c>
      <c r="C652" s="3176">
        <v>88.83</v>
      </c>
      <c r="D652" s="3176">
        <v>27.97</v>
      </c>
      <c r="F652" s="3177">
        <v>650</v>
      </c>
      <c r="G652" s="3175" t="s">
        <v>3999</v>
      </c>
      <c r="H652" s="3178">
        <v>-2045</v>
      </c>
      <c r="I652" s="3179">
        <v>10.5</v>
      </c>
      <c r="J652" s="3179">
        <v>3.31</v>
      </c>
      <c r="L652" s="3177">
        <v>650</v>
      </c>
      <c r="M652" s="3175">
        <v>-10650</v>
      </c>
      <c r="N652" s="3175" t="s">
        <v>3423</v>
      </c>
      <c r="O652" s="3176">
        <v>23.43</v>
      </c>
      <c r="P652" s="3176">
        <v>7.38</v>
      </c>
    </row>
    <row r="653" spans="1:16" ht="15" thickBot="1">
      <c r="A653" s="3174">
        <v>651</v>
      </c>
      <c r="B653" s="3175" t="s">
        <v>4084</v>
      </c>
      <c r="C653" s="3176">
        <v>88.83</v>
      </c>
      <c r="D653" s="3176">
        <v>27.97</v>
      </c>
      <c r="F653" s="3177">
        <v>651</v>
      </c>
      <c r="G653" s="3175" t="s">
        <v>3999</v>
      </c>
      <c r="H653" s="3178">
        <v>-2046</v>
      </c>
      <c r="I653" s="3179">
        <v>8.52</v>
      </c>
      <c r="J653" s="3179">
        <v>2.68</v>
      </c>
      <c r="L653" s="3177">
        <v>651</v>
      </c>
      <c r="M653" s="3175">
        <v>-10651</v>
      </c>
      <c r="N653" s="3175" t="s">
        <v>3423</v>
      </c>
      <c r="O653" s="3176">
        <v>23.43</v>
      </c>
      <c r="P653" s="3176">
        <v>7.38</v>
      </c>
    </row>
    <row r="654" spans="1:16" ht="15" thickBot="1">
      <c r="A654" s="3174">
        <v>652</v>
      </c>
      <c r="B654" s="3175" t="s">
        <v>4085</v>
      </c>
      <c r="C654" s="3176">
        <v>112.27</v>
      </c>
      <c r="D654" s="3176">
        <v>35.35</v>
      </c>
      <c r="F654" s="3177">
        <v>652</v>
      </c>
      <c r="G654" s="3175" t="s">
        <v>3999</v>
      </c>
      <c r="H654" s="3178">
        <v>-2047</v>
      </c>
      <c r="I654" s="3179">
        <v>8.66</v>
      </c>
      <c r="J654" s="3179">
        <v>2.73</v>
      </c>
      <c r="L654" s="3177">
        <v>652</v>
      </c>
      <c r="M654" s="3175">
        <v>-10652</v>
      </c>
      <c r="N654" s="3175" t="s">
        <v>3423</v>
      </c>
      <c r="O654" s="3176">
        <v>23.43</v>
      </c>
      <c r="P654" s="3176">
        <v>7.38</v>
      </c>
    </row>
    <row r="655" spans="1:16" ht="15" thickBot="1">
      <c r="A655" s="3174">
        <v>653</v>
      </c>
      <c r="B655" s="3175" t="s">
        <v>4086</v>
      </c>
      <c r="C655" s="3176">
        <v>88.25</v>
      </c>
      <c r="D655" s="3176">
        <v>27.78</v>
      </c>
      <c r="F655" s="3177">
        <v>653</v>
      </c>
      <c r="G655" s="3175" t="s">
        <v>3999</v>
      </c>
      <c r="H655" s="3178">
        <v>-2048</v>
      </c>
      <c r="I655" s="3179">
        <v>8.52</v>
      </c>
      <c r="J655" s="3179">
        <v>2.68</v>
      </c>
      <c r="L655" s="3177">
        <v>653</v>
      </c>
      <c r="M655" s="3175">
        <v>-10653</v>
      </c>
      <c r="N655" s="3175" t="s">
        <v>3423</v>
      </c>
      <c r="O655" s="3176">
        <v>23.43</v>
      </c>
      <c r="P655" s="3176">
        <v>7.38</v>
      </c>
    </row>
    <row r="656" spans="1:16" ht="15" thickBot="1">
      <c r="A656" s="3174">
        <v>654</v>
      </c>
      <c r="B656" s="3175" t="s">
        <v>4087</v>
      </c>
      <c r="C656" s="3176">
        <v>88.83</v>
      </c>
      <c r="D656" s="3176">
        <v>27.97</v>
      </c>
      <c r="F656" s="3177">
        <v>654</v>
      </c>
      <c r="G656" s="3175" t="s">
        <v>3999</v>
      </c>
      <c r="H656" s="3178">
        <v>-2049</v>
      </c>
      <c r="I656" s="3179">
        <v>7.29</v>
      </c>
      <c r="J656" s="3179">
        <v>2.2999999999999998</v>
      </c>
      <c r="L656" s="3177">
        <v>654</v>
      </c>
      <c r="M656" s="3175">
        <v>-10654</v>
      </c>
      <c r="N656" s="3175" t="s">
        <v>3423</v>
      </c>
      <c r="O656" s="3176">
        <v>23.43</v>
      </c>
      <c r="P656" s="3176">
        <v>7.38</v>
      </c>
    </row>
    <row r="657" spans="1:16" ht="15" thickBot="1">
      <c r="A657" s="3174">
        <v>655</v>
      </c>
      <c r="B657" s="3175" t="s">
        <v>4088</v>
      </c>
      <c r="C657" s="3176">
        <v>88.83</v>
      </c>
      <c r="D657" s="3176">
        <v>27.97</v>
      </c>
      <c r="F657" s="3177">
        <v>655</v>
      </c>
      <c r="G657" s="3175" t="s">
        <v>3999</v>
      </c>
      <c r="H657" s="3178">
        <v>-2050</v>
      </c>
      <c r="I657" s="3179">
        <v>7.08</v>
      </c>
      <c r="J657" s="3179">
        <v>2.23</v>
      </c>
      <c r="L657" s="3177">
        <v>655</v>
      </c>
      <c r="M657" s="3175">
        <v>-10655</v>
      </c>
      <c r="N657" s="3175" t="s">
        <v>3423</v>
      </c>
      <c r="O657" s="3176">
        <v>23.43</v>
      </c>
      <c r="P657" s="3176">
        <v>7.38</v>
      </c>
    </row>
    <row r="658" spans="1:16" ht="15" thickBot="1">
      <c r="A658" s="3174">
        <v>656</v>
      </c>
      <c r="B658" s="3175" t="s">
        <v>4089</v>
      </c>
      <c r="C658" s="3176">
        <v>112.27</v>
      </c>
      <c r="D658" s="3176">
        <v>35.35</v>
      </c>
      <c r="F658" s="3177">
        <v>656</v>
      </c>
      <c r="G658" s="3175" t="s">
        <v>3999</v>
      </c>
      <c r="H658" s="3178">
        <v>-2051</v>
      </c>
      <c r="I658" s="3179">
        <v>7.08</v>
      </c>
      <c r="J658" s="3179">
        <v>2.23</v>
      </c>
      <c r="L658" s="3177">
        <v>656</v>
      </c>
      <c r="M658" s="3175">
        <v>-10656</v>
      </c>
      <c r="N658" s="3175" t="s">
        <v>3423</v>
      </c>
      <c r="O658" s="3176">
        <v>23.43</v>
      </c>
      <c r="P658" s="3176">
        <v>7.38</v>
      </c>
    </row>
    <row r="659" spans="1:16" ht="15" thickBot="1">
      <c r="A659" s="3174">
        <v>657</v>
      </c>
      <c r="B659" s="3175" t="s">
        <v>4090</v>
      </c>
      <c r="C659" s="3176">
        <v>88.25</v>
      </c>
      <c r="D659" s="3176">
        <v>27.78</v>
      </c>
      <c r="F659" s="3177">
        <v>657</v>
      </c>
      <c r="G659" s="3175" t="s">
        <v>3999</v>
      </c>
      <c r="H659" s="3178">
        <v>-2052</v>
      </c>
      <c r="I659" s="3179">
        <v>7.38</v>
      </c>
      <c r="J659" s="3179">
        <v>2.3199999999999998</v>
      </c>
      <c r="L659" s="3177">
        <v>657</v>
      </c>
      <c r="M659" s="3175">
        <v>-10657</v>
      </c>
      <c r="N659" s="3175" t="s">
        <v>3423</v>
      </c>
      <c r="O659" s="3176">
        <v>23.43</v>
      </c>
      <c r="P659" s="3176">
        <v>7.38</v>
      </c>
    </row>
    <row r="660" spans="1:16" ht="15" thickBot="1">
      <c r="A660" s="3174">
        <v>658</v>
      </c>
      <c r="B660" s="3175" t="s">
        <v>4091</v>
      </c>
      <c r="C660" s="3176">
        <v>88.83</v>
      </c>
      <c r="D660" s="3176">
        <v>27.97</v>
      </c>
      <c r="F660" s="3177">
        <v>658</v>
      </c>
      <c r="G660" s="3175" t="s">
        <v>3999</v>
      </c>
      <c r="H660" s="3178">
        <v>-2053</v>
      </c>
      <c r="I660" s="3179">
        <v>7.38</v>
      </c>
      <c r="J660" s="3179">
        <v>2.3199999999999998</v>
      </c>
      <c r="L660" s="3177">
        <v>658</v>
      </c>
      <c r="M660" s="3175">
        <v>-10658</v>
      </c>
      <c r="N660" s="3175" t="s">
        <v>3423</v>
      </c>
      <c r="O660" s="3176">
        <v>23.43</v>
      </c>
      <c r="P660" s="3176">
        <v>7.38</v>
      </c>
    </row>
    <row r="661" spans="1:16" ht="15" thickBot="1">
      <c r="A661" s="3174">
        <v>659</v>
      </c>
      <c r="B661" s="3175" t="s">
        <v>4092</v>
      </c>
      <c r="C661" s="3176">
        <v>88.83</v>
      </c>
      <c r="D661" s="3176">
        <v>27.97</v>
      </c>
      <c r="F661" s="3177">
        <v>659</v>
      </c>
      <c r="G661" s="3175" t="s">
        <v>3999</v>
      </c>
      <c r="H661" s="3178">
        <v>-2054</v>
      </c>
      <c r="I661" s="3179">
        <v>7.08</v>
      </c>
      <c r="J661" s="3179">
        <v>2.23</v>
      </c>
      <c r="L661" s="3177">
        <v>659</v>
      </c>
      <c r="M661" s="3175">
        <v>-10659</v>
      </c>
      <c r="N661" s="3175" t="s">
        <v>3423</v>
      </c>
      <c r="O661" s="3176">
        <v>23.43</v>
      </c>
      <c r="P661" s="3176">
        <v>7.38</v>
      </c>
    </row>
    <row r="662" spans="1:16" ht="15" thickBot="1">
      <c r="A662" s="3174">
        <v>660</v>
      </c>
      <c r="B662" s="3175" t="s">
        <v>4093</v>
      </c>
      <c r="C662" s="3176">
        <v>112.27</v>
      </c>
      <c r="D662" s="3176">
        <v>35.35</v>
      </c>
      <c r="F662" s="3177">
        <v>660</v>
      </c>
      <c r="G662" s="3175" t="s">
        <v>3999</v>
      </c>
      <c r="H662" s="3178">
        <v>-2055</v>
      </c>
      <c r="I662" s="3179">
        <v>7.08</v>
      </c>
      <c r="J662" s="3179">
        <v>2.23</v>
      </c>
      <c r="L662" s="3177">
        <v>660</v>
      </c>
      <c r="M662" s="3175">
        <v>-10660</v>
      </c>
      <c r="N662" s="3175" t="s">
        <v>3423</v>
      </c>
      <c r="O662" s="3176">
        <v>23.43</v>
      </c>
      <c r="P662" s="3176">
        <v>7.38</v>
      </c>
    </row>
    <row r="663" spans="1:16" ht="15" thickBot="1">
      <c r="A663" s="3174">
        <v>661</v>
      </c>
      <c r="B663" s="3175" t="s">
        <v>4094</v>
      </c>
      <c r="C663" s="3176">
        <v>88.25</v>
      </c>
      <c r="D663" s="3176">
        <v>27.78</v>
      </c>
      <c r="F663" s="3177">
        <v>661</v>
      </c>
      <c r="G663" s="3175" t="s">
        <v>3999</v>
      </c>
      <c r="H663" s="3178">
        <v>-2056</v>
      </c>
      <c r="I663" s="3179">
        <v>7.29</v>
      </c>
      <c r="J663" s="3179">
        <v>2.2999999999999998</v>
      </c>
      <c r="L663" s="3177">
        <v>661</v>
      </c>
      <c r="M663" s="3175">
        <v>-10661</v>
      </c>
      <c r="N663" s="3175" t="s">
        <v>3423</v>
      </c>
      <c r="O663" s="3176">
        <v>23.43</v>
      </c>
      <c r="P663" s="3176">
        <v>7.38</v>
      </c>
    </row>
    <row r="664" spans="1:16" ht="15" thickBot="1">
      <c r="A664" s="3174">
        <v>662</v>
      </c>
      <c r="B664" s="3175" t="s">
        <v>4095</v>
      </c>
      <c r="C664" s="3176">
        <v>88.83</v>
      </c>
      <c r="D664" s="3176">
        <v>27.97</v>
      </c>
      <c r="F664" s="3177">
        <v>662</v>
      </c>
      <c r="G664" s="3175" t="s">
        <v>3999</v>
      </c>
      <c r="H664" s="3178">
        <v>-2057</v>
      </c>
      <c r="I664" s="3179">
        <v>8.52</v>
      </c>
      <c r="J664" s="3179">
        <v>2.68</v>
      </c>
      <c r="L664" s="3177">
        <v>662</v>
      </c>
      <c r="M664" s="3175">
        <v>-10662</v>
      </c>
      <c r="N664" s="3175" t="s">
        <v>3423</v>
      </c>
      <c r="O664" s="3176">
        <v>23.43</v>
      </c>
      <c r="P664" s="3176">
        <v>7.38</v>
      </c>
    </row>
    <row r="665" spans="1:16" ht="15" thickBot="1">
      <c r="A665" s="3174">
        <v>663</v>
      </c>
      <c r="B665" s="3175" t="s">
        <v>4096</v>
      </c>
      <c r="C665" s="3176">
        <v>88.83</v>
      </c>
      <c r="D665" s="3176">
        <v>27.97</v>
      </c>
      <c r="F665" s="3177">
        <v>663</v>
      </c>
      <c r="G665" s="3175" t="s">
        <v>3999</v>
      </c>
      <c r="H665" s="3178">
        <v>-2058</v>
      </c>
      <c r="I665" s="3179">
        <v>8.66</v>
      </c>
      <c r="J665" s="3179">
        <v>2.73</v>
      </c>
      <c r="L665" s="3177">
        <v>663</v>
      </c>
      <c r="M665" s="3175">
        <v>-10663</v>
      </c>
      <c r="N665" s="3175" t="s">
        <v>3423</v>
      </c>
      <c r="O665" s="3176">
        <v>23.43</v>
      </c>
      <c r="P665" s="3176">
        <v>7.38</v>
      </c>
    </row>
    <row r="666" spans="1:16" ht="15" thickBot="1">
      <c r="A666" s="3174">
        <v>664</v>
      </c>
      <c r="B666" s="3175" t="s">
        <v>4097</v>
      </c>
      <c r="C666" s="3176">
        <v>112.27</v>
      </c>
      <c r="D666" s="3176">
        <v>35.35</v>
      </c>
      <c r="F666" s="3177">
        <v>664</v>
      </c>
      <c r="G666" s="3175" t="s">
        <v>3999</v>
      </c>
      <c r="H666" s="3178">
        <v>-2059</v>
      </c>
      <c r="I666" s="3179">
        <v>8.52</v>
      </c>
      <c r="J666" s="3179">
        <v>2.68</v>
      </c>
      <c r="L666" s="3177">
        <v>664</v>
      </c>
      <c r="M666" s="3175">
        <v>-10664</v>
      </c>
      <c r="N666" s="3175" t="s">
        <v>3423</v>
      </c>
      <c r="O666" s="3176">
        <v>23.43</v>
      </c>
      <c r="P666" s="3176">
        <v>7.38</v>
      </c>
    </row>
    <row r="667" spans="1:16" ht="15" thickBot="1">
      <c r="A667" s="3174">
        <v>665</v>
      </c>
      <c r="B667" s="3175" t="s">
        <v>4098</v>
      </c>
      <c r="C667" s="3176">
        <v>88.25</v>
      </c>
      <c r="D667" s="3176">
        <v>27.78</v>
      </c>
      <c r="F667" s="3177">
        <v>665</v>
      </c>
      <c r="G667" s="3175" t="s">
        <v>3999</v>
      </c>
      <c r="H667" s="3178">
        <v>-2060</v>
      </c>
      <c r="I667" s="3179">
        <v>10.75</v>
      </c>
      <c r="J667" s="3179">
        <v>3.38</v>
      </c>
      <c r="L667" s="3177">
        <v>665</v>
      </c>
      <c r="M667" s="3175">
        <v>-10665</v>
      </c>
      <c r="N667" s="3175" t="s">
        <v>3423</v>
      </c>
      <c r="O667" s="3176">
        <v>23.43</v>
      </c>
      <c r="P667" s="3176">
        <v>7.38</v>
      </c>
    </row>
    <row r="668" spans="1:16" ht="15" thickBot="1">
      <c r="A668" s="3174">
        <v>666</v>
      </c>
      <c r="B668" s="3175" t="s">
        <v>4099</v>
      </c>
      <c r="C668" s="3176">
        <v>88.83</v>
      </c>
      <c r="D668" s="3176">
        <v>27.97</v>
      </c>
      <c r="F668" s="3177">
        <v>666</v>
      </c>
      <c r="G668" s="3175" t="s">
        <v>3999</v>
      </c>
      <c r="H668" s="3178">
        <v>-2061</v>
      </c>
      <c r="I668" s="3179">
        <v>8.4600000000000009</v>
      </c>
      <c r="J668" s="3179">
        <v>2.66</v>
      </c>
      <c r="L668" s="3177">
        <v>666</v>
      </c>
      <c r="M668" s="3175">
        <v>-10666</v>
      </c>
      <c r="N668" s="3175" t="s">
        <v>3423</v>
      </c>
      <c r="O668" s="3176">
        <v>23.43</v>
      </c>
      <c r="P668" s="3176">
        <v>7.38</v>
      </c>
    </row>
    <row r="669" spans="1:16" ht="15" thickBot="1">
      <c r="A669" s="3174">
        <v>667</v>
      </c>
      <c r="B669" s="3175" t="s">
        <v>4100</v>
      </c>
      <c r="C669" s="3176">
        <v>88.83</v>
      </c>
      <c r="D669" s="3176">
        <v>27.97</v>
      </c>
      <c r="F669" s="3177">
        <v>667</v>
      </c>
      <c r="G669" s="3175" t="s">
        <v>3999</v>
      </c>
      <c r="H669" s="3178">
        <v>-2062</v>
      </c>
      <c r="I669" s="3179">
        <v>8.4600000000000009</v>
      </c>
      <c r="J669" s="3179">
        <v>2.66</v>
      </c>
      <c r="L669" s="3177">
        <v>667</v>
      </c>
      <c r="M669" s="3175">
        <v>-10667</v>
      </c>
      <c r="N669" s="3175" t="s">
        <v>3423</v>
      </c>
      <c r="O669" s="3176">
        <v>23.43</v>
      </c>
      <c r="P669" s="3176">
        <v>7.38</v>
      </c>
    </row>
    <row r="670" spans="1:16" ht="15" thickBot="1">
      <c r="A670" s="3174">
        <v>668</v>
      </c>
      <c r="B670" s="3175" t="s">
        <v>4101</v>
      </c>
      <c r="C670" s="3176">
        <v>112.27</v>
      </c>
      <c r="D670" s="3176">
        <v>35.35</v>
      </c>
      <c r="F670" s="3177">
        <v>668</v>
      </c>
      <c r="G670" s="3175" t="s">
        <v>3999</v>
      </c>
      <c r="H670" s="3178">
        <v>-2063</v>
      </c>
      <c r="I670" s="3179">
        <v>11.45</v>
      </c>
      <c r="J670" s="3179">
        <v>3.6</v>
      </c>
      <c r="L670" s="3177">
        <v>668</v>
      </c>
      <c r="M670" s="3175">
        <v>-10668</v>
      </c>
      <c r="N670" s="3175" t="s">
        <v>3423</v>
      </c>
      <c r="O670" s="3176">
        <v>23.43</v>
      </c>
      <c r="P670" s="3176">
        <v>7.38</v>
      </c>
    </row>
    <row r="671" spans="1:16" ht="15" thickBot="1">
      <c r="A671" s="3174">
        <v>669</v>
      </c>
      <c r="B671" s="3175" t="s">
        <v>4102</v>
      </c>
      <c r="C671" s="3176">
        <v>88.25</v>
      </c>
      <c r="D671" s="3176">
        <v>27.78</v>
      </c>
      <c r="F671" s="3177">
        <v>669</v>
      </c>
      <c r="G671" s="3175" t="s">
        <v>3999</v>
      </c>
      <c r="H671" s="3178">
        <v>-2064</v>
      </c>
      <c r="I671" s="3179">
        <v>11.45</v>
      </c>
      <c r="J671" s="3179">
        <v>3.6</v>
      </c>
      <c r="L671" s="3177">
        <v>669</v>
      </c>
      <c r="M671" s="3175">
        <v>-10669</v>
      </c>
      <c r="N671" s="3175" t="s">
        <v>3423</v>
      </c>
      <c r="O671" s="3176">
        <v>23.43</v>
      </c>
      <c r="P671" s="3176">
        <v>7.38</v>
      </c>
    </row>
    <row r="672" spans="1:16" ht="15" thickBot="1">
      <c r="A672" s="3174">
        <v>670</v>
      </c>
      <c r="B672" s="3175" t="s">
        <v>4103</v>
      </c>
      <c r="C672" s="3176">
        <v>88.83</v>
      </c>
      <c r="D672" s="3176">
        <v>27.97</v>
      </c>
      <c r="F672" s="3177">
        <v>670</v>
      </c>
      <c r="G672" s="3175" t="s">
        <v>3999</v>
      </c>
      <c r="H672" s="3178">
        <v>-2065</v>
      </c>
      <c r="I672" s="3179">
        <v>11.45</v>
      </c>
      <c r="J672" s="3179">
        <v>3.6</v>
      </c>
      <c r="L672" s="3177">
        <v>670</v>
      </c>
      <c r="M672" s="3175">
        <v>-10670</v>
      </c>
      <c r="N672" s="3175" t="s">
        <v>3423</v>
      </c>
      <c r="O672" s="3176">
        <v>23.43</v>
      </c>
      <c r="P672" s="3176">
        <v>7.38</v>
      </c>
    </row>
    <row r="673" spans="1:16" ht="15" thickBot="1">
      <c r="A673" s="3174">
        <v>671</v>
      </c>
      <c r="B673" s="3175" t="s">
        <v>4104</v>
      </c>
      <c r="C673" s="3176">
        <v>88.83</v>
      </c>
      <c r="D673" s="3176">
        <v>27.97</v>
      </c>
      <c r="F673" s="3177">
        <v>671</v>
      </c>
      <c r="G673" s="3175" t="s">
        <v>3999</v>
      </c>
      <c r="H673" s="3178">
        <v>-2066</v>
      </c>
      <c r="I673" s="3179">
        <v>11.26</v>
      </c>
      <c r="J673" s="3179">
        <v>3.55</v>
      </c>
      <c r="L673" s="3177">
        <v>671</v>
      </c>
      <c r="M673" s="3175">
        <v>-10671</v>
      </c>
      <c r="N673" s="3175" t="s">
        <v>3423</v>
      </c>
      <c r="O673" s="3176">
        <v>23.43</v>
      </c>
      <c r="P673" s="3176">
        <v>7.38</v>
      </c>
    </row>
    <row r="674" spans="1:16" ht="15" thickBot="1">
      <c r="A674" s="3174">
        <v>672</v>
      </c>
      <c r="B674" s="3175" t="s">
        <v>4105</v>
      </c>
      <c r="C674" s="3176">
        <v>112.27</v>
      </c>
      <c r="D674" s="3176">
        <v>35.35</v>
      </c>
      <c r="F674" s="3177">
        <v>672</v>
      </c>
      <c r="G674" s="3175" t="s">
        <v>3999</v>
      </c>
      <c r="H674" s="3178">
        <v>-2067</v>
      </c>
      <c r="I674" s="3179">
        <v>11.12</v>
      </c>
      <c r="J674" s="3179">
        <v>3.5</v>
      </c>
      <c r="L674" s="3177">
        <v>672</v>
      </c>
      <c r="M674" s="3175">
        <v>-10672</v>
      </c>
      <c r="N674" s="3175" t="s">
        <v>3423</v>
      </c>
      <c r="O674" s="3176">
        <v>23.43</v>
      </c>
      <c r="P674" s="3176">
        <v>7.38</v>
      </c>
    </row>
    <row r="675" spans="1:16" ht="15" thickBot="1">
      <c r="A675" s="3174">
        <v>673</v>
      </c>
      <c r="B675" s="3175" t="s">
        <v>4106</v>
      </c>
      <c r="C675" s="3176">
        <v>112.27</v>
      </c>
      <c r="D675" s="3176">
        <v>35.35</v>
      </c>
      <c r="F675" s="3177">
        <v>673</v>
      </c>
      <c r="G675" s="3175" t="s">
        <v>3999</v>
      </c>
      <c r="H675" s="3178">
        <v>-2068</v>
      </c>
      <c r="I675" s="3179">
        <v>5.28</v>
      </c>
      <c r="J675" s="3179">
        <v>1.66</v>
      </c>
      <c r="L675" s="3177">
        <v>673</v>
      </c>
      <c r="M675" s="3175">
        <v>-10673</v>
      </c>
      <c r="N675" s="3175" t="s">
        <v>3423</v>
      </c>
      <c r="O675" s="3176">
        <v>23.43</v>
      </c>
      <c r="P675" s="3176">
        <v>7.38</v>
      </c>
    </row>
    <row r="676" spans="1:16" ht="15" thickBot="1">
      <c r="A676" s="3174">
        <v>674</v>
      </c>
      <c r="B676" s="3175" t="s">
        <v>4107</v>
      </c>
      <c r="C676" s="3176">
        <v>88.83</v>
      </c>
      <c r="D676" s="3176">
        <v>27.97</v>
      </c>
      <c r="F676" s="3177">
        <v>674</v>
      </c>
      <c r="G676" s="3175" t="s">
        <v>3999</v>
      </c>
      <c r="H676" s="3178">
        <v>-2069</v>
      </c>
      <c r="I676" s="3179">
        <v>6.13</v>
      </c>
      <c r="J676" s="3179">
        <v>1.93</v>
      </c>
      <c r="L676" s="3177">
        <v>674</v>
      </c>
      <c r="M676" s="3175">
        <v>-10674</v>
      </c>
      <c r="N676" s="3175" t="s">
        <v>3423</v>
      </c>
      <c r="O676" s="3176">
        <v>23.43</v>
      </c>
      <c r="P676" s="3176">
        <v>7.38</v>
      </c>
    </row>
    <row r="677" spans="1:16" ht="15" thickBot="1">
      <c r="A677" s="3174">
        <v>675</v>
      </c>
      <c r="B677" s="3175" t="s">
        <v>4108</v>
      </c>
      <c r="C677" s="3176">
        <v>88.83</v>
      </c>
      <c r="D677" s="3176">
        <v>27.97</v>
      </c>
      <c r="F677" s="3177">
        <v>675</v>
      </c>
      <c r="G677" s="3175" t="s">
        <v>3999</v>
      </c>
      <c r="H677" s="3178">
        <v>-2070</v>
      </c>
      <c r="I677" s="3179">
        <v>5.8</v>
      </c>
      <c r="J677" s="3179">
        <v>1.83</v>
      </c>
      <c r="L677" s="3177">
        <v>675</v>
      </c>
      <c r="M677" s="3175">
        <v>-10675</v>
      </c>
      <c r="N677" s="3175" t="s">
        <v>3423</v>
      </c>
      <c r="O677" s="3176">
        <v>23.43</v>
      </c>
      <c r="P677" s="3176">
        <v>7.38</v>
      </c>
    </row>
    <row r="678" spans="1:16" ht="15" thickBot="1">
      <c r="A678" s="3174">
        <v>676</v>
      </c>
      <c r="B678" s="3175" t="s">
        <v>4109</v>
      </c>
      <c r="C678" s="3176">
        <v>89.11</v>
      </c>
      <c r="D678" s="3176">
        <v>28.06</v>
      </c>
      <c r="F678" s="3177">
        <v>676</v>
      </c>
      <c r="G678" s="3175" t="s">
        <v>3999</v>
      </c>
      <c r="H678" s="3178">
        <v>-2071</v>
      </c>
      <c r="I678" s="3179">
        <v>7.63</v>
      </c>
      <c r="J678" s="3179">
        <v>2.4</v>
      </c>
      <c r="L678" s="3177">
        <v>676</v>
      </c>
      <c r="M678" s="3175">
        <v>-10676</v>
      </c>
      <c r="N678" s="3175" t="s">
        <v>3423</v>
      </c>
      <c r="O678" s="3176">
        <v>23.43</v>
      </c>
      <c r="P678" s="3176">
        <v>7.38</v>
      </c>
    </row>
    <row r="679" spans="1:16" ht="15" thickBot="1">
      <c r="A679" s="3174">
        <v>677</v>
      </c>
      <c r="B679" s="3175" t="s">
        <v>4110</v>
      </c>
      <c r="C679" s="3176">
        <v>112.27</v>
      </c>
      <c r="D679" s="3176">
        <v>35.35</v>
      </c>
      <c r="F679" s="3177">
        <v>677</v>
      </c>
      <c r="G679" s="3175" t="s">
        <v>3999</v>
      </c>
      <c r="H679" s="3178">
        <v>-2072</v>
      </c>
      <c r="I679" s="3179">
        <v>7.86</v>
      </c>
      <c r="J679" s="3179">
        <v>2.4700000000000002</v>
      </c>
      <c r="L679" s="3177">
        <v>677</v>
      </c>
      <c r="M679" s="3175">
        <v>-10677</v>
      </c>
      <c r="N679" s="3175" t="s">
        <v>3423</v>
      </c>
      <c r="O679" s="3176">
        <v>23.43</v>
      </c>
      <c r="P679" s="3176">
        <v>7.38</v>
      </c>
    </row>
    <row r="680" spans="1:16" ht="15" thickBot="1">
      <c r="A680" s="3174">
        <v>678</v>
      </c>
      <c r="B680" s="3175" t="s">
        <v>4111</v>
      </c>
      <c r="C680" s="3176">
        <v>88.83</v>
      </c>
      <c r="D680" s="3176">
        <v>27.97</v>
      </c>
      <c r="F680" s="3177">
        <v>678</v>
      </c>
      <c r="G680" s="3175" t="s">
        <v>3999</v>
      </c>
      <c r="H680" s="3178">
        <v>-2073</v>
      </c>
      <c r="I680" s="3179">
        <v>8.07</v>
      </c>
      <c r="J680" s="3179">
        <v>2.54</v>
      </c>
      <c r="L680" s="3177">
        <v>678</v>
      </c>
      <c r="M680" s="3175">
        <v>-10678</v>
      </c>
      <c r="N680" s="3175" t="s">
        <v>3423</v>
      </c>
      <c r="O680" s="3176">
        <v>23.43</v>
      </c>
      <c r="P680" s="3176">
        <v>7.38</v>
      </c>
    </row>
    <row r="681" spans="1:16" ht="15" thickBot="1">
      <c r="A681" s="3174">
        <v>679</v>
      </c>
      <c r="B681" s="3175" t="s">
        <v>4112</v>
      </c>
      <c r="C681" s="3176">
        <v>88.83</v>
      </c>
      <c r="D681" s="3176">
        <v>27.97</v>
      </c>
      <c r="F681" s="3177">
        <v>679</v>
      </c>
      <c r="G681" s="3175" t="s">
        <v>3999</v>
      </c>
      <c r="H681" s="3178">
        <v>-2074</v>
      </c>
      <c r="I681" s="3179">
        <v>9.52</v>
      </c>
      <c r="J681" s="3179">
        <v>3</v>
      </c>
      <c r="L681" s="3177">
        <v>679</v>
      </c>
      <c r="M681" s="3175">
        <v>-10679</v>
      </c>
      <c r="N681" s="3175" t="s">
        <v>3423</v>
      </c>
      <c r="O681" s="3176">
        <v>23.43</v>
      </c>
      <c r="P681" s="3176">
        <v>7.38</v>
      </c>
    </row>
    <row r="682" spans="1:16" ht="15" thickBot="1">
      <c r="A682" s="3174">
        <v>680</v>
      </c>
      <c r="B682" s="3175" t="s">
        <v>4113</v>
      </c>
      <c r="C682" s="3176">
        <v>89.11</v>
      </c>
      <c r="D682" s="3176">
        <v>28.06</v>
      </c>
      <c r="F682" s="3177">
        <v>680</v>
      </c>
      <c r="G682" s="3175" t="s">
        <v>3999</v>
      </c>
      <c r="H682" s="3178">
        <v>-2075</v>
      </c>
      <c r="I682" s="3179">
        <v>8.52</v>
      </c>
      <c r="J682" s="3179">
        <v>2.68</v>
      </c>
      <c r="L682" s="3177">
        <v>680</v>
      </c>
      <c r="M682" s="3175">
        <v>-10680</v>
      </c>
      <c r="N682" s="3175" t="s">
        <v>3423</v>
      </c>
      <c r="O682" s="3176">
        <v>23.43</v>
      </c>
      <c r="P682" s="3176">
        <v>7.38</v>
      </c>
    </row>
    <row r="683" spans="1:16" ht="15" thickBot="1">
      <c r="A683" s="3174">
        <v>681</v>
      </c>
      <c r="B683" s="3175" t="s">
        <v>4114</v>
      </c>
      <c r="C683" s="3176">
        <v>112.27</v>
      </c>
      <c r="D683" s="3176">
        <v>35.35</v>
      </c>
      <c r="F683" s="3177">
        <v>681</v>
      </c>
      <c r="G683" s="3175" t="s">
        <v>3999</v>
      </c>
      <c r="H683" s="3178">
        <v>-2076</v>
      </c>
      <c r="I683" s="3179">
        <v>8.66</v>
      </c>
      <c r="J683" s="3179">
        <v>2.73</v>
      </c>
      <c r="L683" s="3177">
        <v>681</v>
      </c>
      <c r="M683" s="3175">
        <v>-10681</v>
      </c>
      <c r="N683" s="3175" t="s">
        <v>3423</v>
      </c>
      <c r="O683" s="3176">
        <v>23.43</v>
      </c>
      <c r="P683" s="3176">
        <v>7.38</v>
      </c>
    </row>
    <row r="684" spans="1:16" ht="15" thickBot="1">
      <c r="A684" s="3174">
        <v>682</v>
      </c>
      <c r="B684" s="3175" t="s">
        <v>4115</v>
      </c>
      <c r="C684" s="3176">
        <v>88.83</v>
      </c>
      <c r="D684" s="3176">
        <v>27.97</v>
      </c>
      <c r="F684" s="3177">
        <v>682</v>
      </c>
      <c r="G684" s="3175" t="s">
        <v>3999</v>
      </c>
      <c r="H684" s="3178">
        <v>-2077</v>
      </c>
      <c r="I684" s="3179">
        <v>8.52</v>
      </c>
      <c r="J684" s="3179">
        <v>2.68</v>
      </c>
      <c r="L684" s="3177">
        <v>682</v>
      </c>
      <c r="M684" s="3175">
        <v>-10682</v>
      </c>
      <c r="N684" s="3175" t="s">
        <v>3423</v>
      </c>
      <c r="O684" s="3176">
        <v>23.43</v>
      </c>
      <c r="P684" s="3176">
        <v>7.38</v>
      </c>
    </row>
    <row r="685" spans="1:16" ht="15" thickBot="1">
      <c r="A685" s="3174">
        <v>683</v>
      </c>
      <c r="B685" s="3175" t="s">
        <v>4116</v>
      </c>
      <c r="C685" s="3176">
        <v>88.83</v>
      </c>
      <c r="D685" s="3176">
        <v>27.97</v>
      </c>
      <c r="F685" s="3177">
        <v>683</v>
      </c>
      <c r="G685" s="3175" t="s">
        <v>3999</v>
      </c>
      <c r="H685" s="3178">
        <v>-2078</v>
      </c>
      <c r="I685" s="3179">
        <v>7.29</v>
      </c>
      <c r="J685" s="3179">
        <v>2.2999999999999998</v>
      </c>
      <c r="L685" s="3177">
        <v>683</v>
      </c>
      <c r="M685" s="3175">
        <v>-10683</v>
      </c>
      <c r="N685" s="3175" t="s">
        <v>3423</v>
      </c>
      <c r="O685" s="3176">
        <v>23.43</v>
      </c>
      <c r="P685" s="3176">
        <v>7.38</v>
      </c>
    </row>
    <row r="686" spans="1:16" ht="15" thickBot="1">
      <c r="A686" s="3174">
        <v>684</v>
      </c>
      <c r="B686" s="3175" t="s">
        <v>4117</v>
      </c>
      <c r="C686" s="3176">
        <v>89.11</v>
      </c>
      <c r="D686" s="3176">
        <v>28.06</v>
      </c>
      <c r="F686" s="3177">
        <v>684</v>
      </c>
      <c r="G686" s="3175" t="s">
        <v>3999</v>
      </c>
      <c r="H686" s="3178">
        <v>-2079</v>
      </c>
      <c r="I686" s="3179">
        <v>7.08</v>
      </c>
      <c r="J686" s="3179">
        <v>2.23</v>
      </c>
      <c r="L686" s="3177">
        <v>684</v>
      </c>
      <c r="M686" s="3175">
        <v>-10684</v>
      </c>
      <c r="N686" s="3175" t="s">
        <v>3423</v>
      </c>
      <c r="O686" s="3176">
        <v>23.43</v>
      </c>
      <c r="P686" s="3176">
        <v>7.38</v>
      </c>
    </row>
    <row r="687" spans="1:16" ht="15" thickBot="1">
      <c r="A687" s="3174">
        <v>685</v>
      </c>
      <c r="B687" s="3175" t="s">
        <v>4118</v>
      </c>
      <c r="C687" s="3176">
        <v>112.27</v>
      </c>
      <c r="D687" s="3176">
        <v>35.35</v>
      </c>
      <c r="F687" s="3177">
        <v>685</v>
      </c>
      <c r="G687" s="3175" t="s">
        <v>3999</v>
      </c>
      <c r="H687" s="3178">
        <v>-2080</v>
      </c>
      <c r="I687" s="3179">
        <v>7.08</v>
      </c>
      <c r="J687" s="3179">
        <v>2.23</v>
      </c>
      <c r="L687" s="3177">
        <v>685</v>
      </c>
      <c r="M687" s="3175">
        <v>-10685</v>
      </c>
      <c r="N687" s="3175" t="s">
        <v>3423</v>
      </c>
      <c r="O687" s="3176">
        <v>23.43</v>
      </c>
      <c r="P687" s="3176">
        <v>7.38</v>
      </c>
    </row>
    <row r="688" spans="1:16" ht="15" thickBot="1">
      <c r="A688" s="3174">
        <v>686</v>
      </c>
      <c r="B688" s="3175" t="s">
        <v>4119</v>
      </c>
      <c r="C688" s="3176">
        <v>88.83</v>
      </c>
      <c r="D688" s="3176">
        <v>27.97</v>
      </c>
      <c r="F688" s="3177">
        <v>686</v>
      </c>
      <c r="G688" s="3175" t="s">
        <v>3999</v>
      </c>
      <c r="H688" s="3178">
        <v>-2081</v>
      </c>
      <c r="I688" s="3179">
        <v>7.38</v>
      </c>
      <c r="J688" s="3179">
        <v>2.3199999999999998</v>
      </c>
      <c r="L688" s="3177">
        <v>686</v>
      </c>
      <c r="M688" s="3175">
        <v>-10686</v>
      </c>
      <c r="N688" s="3175" t="s">
        <v>3423</v>
      </c>
      <c r="O688" s="3176">
        <v>23.43</v>
      </c>
      <c r="P688" s="3176">
        <v>7.38</v>
      </c>
    </row>
    <row r="689" spans="1:16" ht="15" thickBot="1">
      <c r="A689" s="3174">
        <v>687</v>
      </c>
      <c r="B689" s="3175" t="s">
        <v>4120</v>
      </c>
      <c r="C689" s="3176">
        <v>88.83</v>
      </c>
      <c r="D689" s="3176">
        <v>27.97</v>
      </c>
      <c r="F689" s="3177">
        <v>687</v>
      </c>
      <c r="G689" s="3175" t="s">
        <v>3999</v>
      </c>
      <c r="H689" s="3178">
        <v>-2082</v>
      </c>
      <c r="I689" s="3179">
        <v>7.38</v>
      </c>
      <c r="J689" s="3179">
        <v>2.3199999999999998</v>
      </c>
      <c r="L689" s="3177">
        <v>687</v>
      </c>
      <c r="M689" s="3175">
        <v>-10687</v>
      </c>
      <c r="N689" s="3175" t="s">
        <v>3423</v>
      </c>
      <c r="O689" s="3176">
        <v>23.43</v>
      </c>
      <c r="P689" s="3176">
        <v>7.38</v>
      </c>
    </row>
    <row r="690" spans="1:16" ht="15" thickBot="1">
      <c r="A690" s="3174">
        <v>688</v>
      </c>
      <c r="B690" s="3175" t="s">
        <v>4121</v>
      </c>
      <c r="C690" s="3176">
        <v>89.11</v>
      </c>
      <c r="D690" s="3176">
        <v>28.06</v>
      </c>
      <c r="F690" s="3177">
        <v>688</v>
      </c>
      <c r="G690" s="3175" t="s">
        <v>3999</v>
      </c>
      <c r="H690" s="3178">
        <v>-2083</v>
      </c>
      <c r="I690" s="3179">
        <v>7.08</v>
      </c>
      <c r="J690" s="3179">
        <v>2.23</v>
      </c>
      <c r="L690" s="3177">
        <v>688</v>
      </c>
      <c r="M690" s="3175">
        <v>-10688</v>
      </c>
      <c r="N690" s="3175" t="s">
        <v>3423</v>
      </c>
      <c r="O690" s="3176">
        <v>23.43</v>
      </c>
      <c r="P690" s="3176">
        <v>7.38</v>
      </c>
    </row>
    <row r="691" spans="1:16" ht="15" thickBot="1">
      <c r="A691" s="3174">
        <v>689</v>
      </c>
      <c r="B691" s="3175" t="s">
        <v>4122</v>
      </c>
      <c r="C691" s="3176">
        <v>112.27</v>
      </c>
      <c r="D691" s="3176">
        <v>35.35</v>
      </c>
      <c r="F691" s="3177">
        <v>689</v>
      </c>
      <c r="G691" s="3175" t="s">
        <v>3999</v>
      </c>
      <c r="H691" s="3178">
        <v>-2084</v>
      </c>
      <c r="I691" s="3179">
        <v>7.08</v>
      </c>
      <c r="J691" s="3179">
        <v>2.23</v>
      </c>
      <c r="L691" s="3177">
        <v>689</v>
      </c>
      <c r="M691" s="3175">
        <v>-10689</v>
      </c>
      <c r="N691" s="3175" t="s">
        <v>3423</v>
      </c>
      <c r="O691" s="3176">
        <v>23.43</v>
      </c>
      <c r="P691" s="3176">
        <v>7.38</v>
      </c>
    </row>
    <row r="692" spans="1:16" ht="15" thickBot="1">
      <c r="A692" s="3174">
        <v>690</v>
      </c>
      <c r="B692" s="3175" t="s">
        <v>4123</v>
      </c>
      <c r="C692" s="3176">
        <v>88.83</v>
      </c>
      <c r="D692" s="3176">
        <v>27.97</v>
      </c>
      <c r="F692" s="3177">
        <v>690</v>
      </c>
      <c r="G692" s="3175" t="s">
        <v>3999</v>
      </c>
      <c r="H692" s="3178">
        <v>-2085</v>
      </c>
      <c r="I692" s="3179">
        <v>7.29</v>
      </c>
      <c r="J692" s="3179">
        <v>2.2999999999999998</v>
      </c>
      <c r="L692" s="3177">
        <v>690</v>
      </c>
      <c r="M692" s="3175">
        <v>-10690</v>
      </c>
      <c r="N692" s="3175" t="s">
        <v>3423</v>
      </c>
      <c r="O692" s="3176">
        <v>23.43</v>
      </c>
      <c r="P692" s="3176">
        <v>7.38</v>
      </c>
    </row>
    <row r="693" spans="1:16" ht="15" thickBot="1">
      <c r="A693" s="3174">
        <v>691</v>
      </c>
      <c r="B693" s="3175" t="s">
        <v>4124</v>
      </c>
      <c r="C693" s="3176">
        <v>88.83</v>
      </c>
      <c r="D693" s="3176">
        <v>27.97</v>
      </c>
      <c r="F693" s="3177">
        <v>691</v>
      </c>
      <c r="G693" s="3175" t="s">
        <v>3999</v>
      </c>
      <c r="H693" s="3178">
        <v>-2086</v>
      </c>
      <c r="I693" s="3179">
        <v>8.52</v>
      </c>
      <c r="J693" s="3179">
        <v>2.68</v>
      </c>
      <c r="L693" s="3177">
        <v>691</v>
      </c>
      <c r="M693" s="3175">
        <v>-10691</v>
      </c>
      <c r="N693" s="3175" t="s">
        <v>3423</v>
      </c>
      <c r="O693" s="3176">
        <v>23.43</v>
      </c>
      <c r="P693" s="3176">
        <v>7.38</v>
      </c>
    </row>
    <row r="694" spans="1:16" ht="15" thickBot="1">
      <c r="A694" s="3174">
        <v>692</v>
      </c>
      <c r="B694" s="3175" t="s">
        <v>4125</v>
      </c>
      <c r="C694" s="3176">
        <v>89.11</v>
      </c>
      <c r="D694" s="3176">
        <v>28.06</v>
      </c>
      <c r="F694" s="3177">
        <v>692</v>
      </c>
      <c r="G694" s="3175" t="s">
        <v>3999</v>
      </c>
      <c r="H694" s="3178">
        <v>-2087</v>
      </c>
      <c r="I694" s="3179">
        <v>8.66</v>
      </c>
      <c r="J694" s="3179">
        <v>2.73</v>
      </c>
      <c r="L694" s="3177">
        <v>692</v>
      </c>
      <c r="M694" s="3175">
        <v>-10692</v>
      </c>
      <c r="N694" s="3175" t="s">
        <v>3423</v>
      </c>
      <c r="O694" s="3176">
        <v>23.43</v>
      </c>
      <c r="P694" s="3176">
        <v>7.38</v>
      </c>
    </row>
    <row r="695" spans="1:16" ht="15" thickBot="1">
      <c r="A695" s="3174">
        <v>693</v>
      </c>
      <c r="B695" s="3175" t="s">
        <v>4126</v>
      </c>
      <c r="C695" s="3176">
        <v>112.27</v>
      </c>
      <c r="D695" s="3176">
        <v>35.35</v>
      </c>
      <c r="F695" s="3177">
        <v>693</v>
      </c>
      <c r="G695" s="3175" t="s">
        <v>3999</v>
      </c>
      <c r="H695" s="3178">
        <v>-2088</v>
      </c>
      <c r="I695" s="3179">
        <v>8.52</v>
      </c>
      <c r="J695" s="3179">
        <v>2.68</v>
      </c>
      <c r="L695" s="3177">
        <v>693</v>
      </c>
      <c r="M695" s="3175">
        <v>-10693</v>
      </c>
      <c r="N695" s="3175" t="s">
        <v>3423</v>
      </c>
      <c r="O695" s="3176">
        <v>23.43</v>
      </c>
      <c r="P695" s="3176">
        <v>7.38</v>
      </c>
    </row>
    <row r="696" spans="1:16" ht="15" thickBot="1">
      <c r="A696" s="3174">
        <v>694</v>
      </c>
      <c r="B696" s="3175" t="s">
        <v>4127</v>
      </c>
      <c r="C696" s="3176">
        <v>88.83</v>
      </c>
      <c r="D696" s="3176">
        <v>27.97</v>
      </c>
      <c r="F696" s="3177">
        <v>694</v>
      </c>
      <c r="G696" s="3175" t="s">
        <v>3999</v>
      </c>
      <c r="H696" s="3178">
        <v>-2089</v>
      </c>
      <c r="I696" s="3179">
        <v>8.69</v>
      </c>
      <c r="J696" s="3179">
        <v>2.74</v>
      </c>
      <c r="L696" s="3177">
        <v>694</v>
      </c>
      <c r="M696" s="3175">
        <v>-10694</v>
      </c>
      <c r="N696" s="3175" t="s">
        <v>3423</v>
      </c>
      <c r="O696" s="3176">
        <v>23.43</v>
      </c>
      <c r="P696" s="3176">
        <v>7.38</v>
      </c>
    </row>
    <row r="697" spans="1:16" ht="15" thickBot="1">
      <c r="A697" s="3174">
        <v>695</v>
      </c>
      <c r="B697" s="3175" t="s">
        <v>4128</v>
      </c>
      <c r="C697" s="3176">
        <v>88.83</v>
      </c>
      <c r="D697" s="3176">
        <v>27.97</v>
      </c>
      <c r="F697" s="3177">
        <v>695</v>
      </c>
      <c r="G697" s="3175" t="s">
        <v>3999</v>
      </c>
      <c r="H697" s="3178">
        <v>-2090</v>
      </c>
      <c r="I697" s="3179">
        <v>8.4600000000000009</v>
      </c>
      <c r="J697" s="3179">
        <v>2.66</v>
      </c>
      <c r="L697" s="3177">
        <v>695</v>
      </c>
      <c r="M697" s="3175">
        <v>-10695</v>
      </c>
      <c r="N697" s="3175" t="s">
        <v>3423</v>
      </c>
      <c r="O697" s="3176">
        <v>23.43</v>
      </c>
      <c r="P697" s="3176">
        <v>7.38</v>
      </c>
    </row>
    <row r="698" spans="1:16" ht="15" thickBot="1">
      <c r="A698" s="3174">
        <v>696</v>
      </c>
      <c r="B698" s="3175" t="s">
        <v>4129</v>
      </c>
      <c r="C698" s="3176">
        <v>89.11</v>
      </c>
      <c r="D698" s="3176">
        <v>28.06</v>
      </c>
      <c r="F698" s="3177">
        <v>696</v>
      </c>
      <c r="G698" s="3175" t="s">
        <v>3999</v>
      </c>
      <c r="H698" s="3178">
        <v>-2091</v>
      </c>
      <c r="I698" s="3179">
        <v>6.86</v>
      </c>
      <c r="J698" s="3179">
        <v>2.16</v>
      </c>
      <c r="L698" s="3177">
        <v>696</v>
      </c>
      <c r="M698" s="3175">
        <v>-10696</v>
      </c>
      <c r="N698" s="3175" t="s">
        <v>3423</v>
      </c>
      <c r="O698" s="3176">
        <v>23.43</v>
      </c>
      <c r="P698" s="3176">
        <v>7.38</v>
      </c>
    </row>
    <row r="699" spans="1:16" ht="15" thickBot="1">
      <c r="A699" s="3174">
        <v>697</v>
      </c>
      <c r="B699" s="3175" t="s">
        <v>4130</v>
      </c>
      <c r="C699" s="3176">
        <v>112.27</v>
      </c>
      <c r="D699" s="3176">
        <v>35.35</v>
      </c>
      <c r="F699" s="3177">
        <v>697</v>
      </c>
      <c r="G699" s="3175" t="s">
        <v>3999</v>
      </c>
      <c r="H699" s="3178">
        <v>-2092</v>
      </c>
      <c r="I699" s="3179">
        <v>11.55</v>
      </c>
      <c r="J699" s="3179">
        <v>3.64</v>
      </c>
      <c r="L699" s="3177">
        <v>697</v>
      </c>
      <c r="M699" s="3175">
        <v>-10697</v>
      </c>
      <c r="N699" s="3175" t="s">
        <v>3423</v>
      </c>
      <c r="O699" s="3176">
        <v>23.43</v>
      </c>
      <c r="P699" s="3176">
        <v>7.38</v>
      </c>
    </row>
    <row r="700" spans="1:16" ht="15" thickBot="1">
      <c r="A700" s="3174">
        <v>698</v>
      </c>
      <c r="B700" s="3175" t="s">
        <v>4131</v>
      </c>
      <c r="C700" s="3176">
        <v>88.83</v>
      </c>
      <c r="D700" s="3176">
        <v>27.97</v>
      </c>
      <c r="F700" s="3177">
        <v>698</v>
      </c>
      <c r="G700" s="3175" t="s">
        <v>3999</v>
      </c>
      <c r="H700" s="3178">
        <v>-2093</v>
      </c>
      <c r="I700" s="3179">
        <v>7.89</v>
      </c>
      <c r="J700" s="3179">
        <v>2.48</v>
      </c>
      <c r="L700" s="3177">
        <v>698</v>
      </c>
      <c r="M700" s="3175">
        <v>-10698</v>
      </c>
      <c r="N700" s="3175" t="s">
        <v>3423</v>
      </c>
      <c r="O700" s="3176">
        <v>23.43</v>
      </c>
      <c r="P700" s="3176">
        <v>7.38</v>
      </c>
    </row>
    <row r="701" spans="1:16" ht="15" thickBot="1">
      <c r="A701" s="3174">
        <v>699</v>
      </c>
      <c r="B701" s="3175" t="s">
        <v>4132</v>
      </c>
      <c r="C701" s="3176">
        <v>88.83</v>
      </c>
      <c r="D701" s="3176">
        <v>27.97</v>
      </c>
      <c r="F701" s="3177">
        <v>699</v>
      </c>
      <c r="G701" s="3175" t="s">
        <v>3999</v>
      </c>
      <c r="H701" s="3178">
        <v>-2094</v>
      </c>
      <c r="I701" s="3179">
        <v>11.55</v>
      </c>
      <c r="J701" s="3179">
        <v>3.64</v>
      </c>
      <c r="L701" s="3177">
        <v>699</v>
      </c>
      <c r="M701" s="3175">
        <v>-10699</v>
      </c>
      <c r="N701" s="3175" t="s">
        <v>3423</v>
      </c>
      <c r="O701" s="3176">
        <v>23.43</v>
      </c>
      <c r="P701" s="3176">
        <v>7.38</v>
      </c>
    </row>
    <row r="702" spans="1:16" ht="15" thickBot="1">
      <c r="A702" s="3174">
        <v>700</v>
      </c>
      <c r="B702" s="3175" t="s">
        <v>4133</v>
      </c>
      <c r="C702" s="3176">
        <v>89.11</v>
      </c>
      <c r="D702" s="3176">
        <v>28.06</v>
      </c>
      <c r="F702" s="3177">
        <v>700</v>
      </c>
      <c r="G702" s="3175" t="s">
        <v>3999</v>
      </c>
      <c r="H702" s="3178">
        <v>-2095</v>
      </c>
      <c r="I702" s="3179">
        <v>7.89</v>
      </c>
      <c r="J702" s="3179">
        <v>2.48</v>
      </c>
      <c r="L702" s="3177">
        <v>700</v>
      </c>
      <c r="M702" s="3175">
        <v>-10700</v>
      </c>
      <c r="N702" s="3175" t="s">
        <v>3423</v>
      </c>
      <c r="O702" s="3176">
        <v>23.43</v>
      </c>
      <c r="P702" s="3176">
        <v>7.38</v>
      </c>
    </row>
    <row r="703" spans="1:16" ht="15" thickBot="1">
      <c r="A703" s="3174">
        <v>701</v>
      </c>
      <c r="B703" s="3175" t="s">
        <v>4134</v>
      </c>
      <c r="C703" s="3176">
        <v>112.27</v>
      </c>
      <c r="D703" s="3176">
        <v>35.35</v>
      </c>
      <c r="F703" s="3177">
        <v>701</v>
      </c>
      <c r="G703" s="3175" t="s">
        <v>3999</v>
      </c>
      <c r="H703" s="3178">
        <v>-2096</v>
      </c>
      <c r="I703" s="3179">
        <v>11.58</v>
      </c>
      <c r="J703" s="3179">
        <v>3.65</v>
      </c>
      <c r="L703" s="3177">
        <v>701</v>
      </c>
      <c r="M703" s="3175">
        <v>-10701</v>
      </c>
      <c r="N703" s="3175" t="s">
        <v>3423</v>
      </c>
      <c r="O703" s="3176">
        <v>23.43</v>
      </c>
      <c r="P703" s="3176">
        <v>7.38</v>
      </c>
    </row>
    <row r="704" spans="1:16" ht="15" thickBot="1">
      <c r="A704" s="3174">
        <v>702</v>
      </c>
      <c r="B704" s="3175" t="s">
        <v>4135</v>
      </c>
      <c r="C704" s="3176">
        <v>88.83</v>
      </c>
      <c r="D704" s="3176">
        <v>27.97</v>
      </c>
      <c r="F704" s="3177">
        <v>702</v>
      </c>
      <c r="G704" s="3175" t="s">
        <v>3999</v>
      </c>
      <c r="H704" s="3178">
        <v>-2097</v>
      </c>
      <c r="I704" s="3179">
        <v>11.58</v>
      </c>
      <c r="J704" s="3179">
        <v>3.65</v>
      </c>
      <c r="L704" s="3177">
        <v>702</v>
      </c>
      <c r="M704" s="3175">
        <v>-10702</v>
      </c>
      <c r="N704" s="3175" t="s">
        <v>3423</v>
      </c>
      <c r="O704" s="3176">
        <v>23.43</v>
      </c>
      <c r="P704" s="3176">
        <v>7.38</v>
      </c>
    </row>
    <row r="705" spans="1:16" ht="15" thickBot="1">
      <c r="A705" s="3174">
        <v>703</v>
      </c>
      <c r="B705" s="3175" t="s">
        <v>4136</v>
      </c>
      <c r="C705" s="3176">
        <v>88.83</v>
      </c>
      <c r="D705" s="3176">
        <v>27.97</v>
      </c>
      <c r="F705" s="3177">
        <v>703</v>
      </c>
      <c r="G705" s="3175" t="s">
        <v>3999</v>
      </c>
      <c r="H705" s="3178">
        <v>-2098</v>
      </c>
      <c r="I705" s="3179">
        <v>11.58</v>
      </c>
      <c r="J705" s="3179">
        <v>3.65</v>
      </c>
      <c r="L705" s="3177">
        <v>703</v>
      </c>
      <c r="M705" s="3175">
        <v>-10703</v>
      </c>
      <c r="N705" s="3175" t="s">
        <v>3423</v>
      </c>
      <c r="O705" s="3176">
        <v>23.43</v>
      </c>
      <c r="P705" s="3176">
        <v>7.38</v>
      </c>
    </row>
    <row r="706" spans="1:16" ht="15" thickBot="1">
      <c r="A706" s="3174">
        <v>704</v>
      </c>
      <c r="B706" s="3175" t="s">
        <v>4137</v>
      </c>
      <c r="C706" s="3176">
        <v>89.11</v>
      </c>
      <c r="D706" s="3176">
        <v>28.06</v>
      </c>
      <c r="F706" s="3177">
        <v>704</v>
      </c>
      <c r="G706" s="3175" t="s">
        <v>3999</v>
      </c>
      <c r="H706" s="3178">
        <v>-2099</v>
      </c>
      <c r="I706" s="3179">
        <v>11.58</v>
      </c>
      <c r="J706" s="3179">
        <v>3.65</v>
      </c>
      <c r="L706" s="3177">
        <v>704</v>
      </c>
      <c r="M706" s="3175">
        <v>-10704</v>
      </c>
      <c r="N706" s="3175" t="s">
        <v>3423</v>
      </c>
      <c r="O706" s="3176">
        <v>23.43</v>
      </c>
      <c r="P706" s="3176">
        <v>7.38</v>
      </c>
    </row>
    <row r="707" spans="1:16" ht="15" thickBot="1">
      <c r="A707" s="3174">
        <v>705</v>
      </c>
      <c r="B707" s="3175" t="s">
        <v>4138</v>
      </c>
      <c r="C707" s="3176">
        <v>112.27</v>
      </c>
      <c r="D707" s="3176">
        <v>35.35</v>
      </c>
      <c r="F707" s="3177">
        <v>705</v>
      </c>
      <c r="G707" s="3175" t="s">
        <v>3999</v>
      </c>
      <c r="H707" s="3178">
        <v>-2100</v>
      </c>
      <c r="I707" s="3179">
        <v>8.4600000000000009</v>
      </c>
      <c r="J707" s="3179">
        <v>2.66</v>
      </c>
      <c r="L707" s="3177">
        <v>705</v>
      </c>
      <c r="M707" s="3175">
        <v>-10705</v>
      </c>
      <c r="N707" s="3175" t="s">
        <v>3423</v>
      </c>
      <c r="O707" s="3176">
        <v>23.43</v>
      </c>
      <c r="P707" s="3176">
        <v>7.38</v>
      </c>
    </row>
    <row r="708" spans="1:16" ht="15" thickBot="1">
      <c r="A708" s="3174">
        <v>706</v>
      </c>
      <c r="B708" s="3175" t="s">
        <v>4139</v>
      </c>
      <c r="C708" s="3176">
        <v>88.83</v>
      </c>
      <c r="D708" s="3176">
        <v>27.97</v>
      </c>
      <c r="F708" s="3177">
        <v>706</v>
      </c>
      <c r="G708" s="3175" t="s">
        <v>3999</v>
      </c>
      <c r="H708" s="3178">
        <v>-2101</v>
      </c>
      <c r="I708" s="3179">
        <v>8.4600000000000009</v>
      </c>
      <c r="J708" s="3179">
        <v>2.66</v>
      </c>
      <c r="L708" s="3177">
        <v>706</v>
      </c>
      <c r="M708" s="3175">
        <v>-10706</v>
      </c>
      <c r="N708" s="3175" t="s">
        <v>3423</v>
      </c>
      <c r="O708" s="3176">
        <v>23.43</v>
      </c>
      <c r="P708" s="3176">
        <v>7.38</v>
      </c>
    </row>
    <row r="709" spans="1:16" ht="15" thickBot="1">
      <c r="A709" s="3174">
        <v>707</v>
      </c>
      <c r="B709" s="3175" t="s">
        <v>4140</v>
      </c>
      <c r="C709" s="3176">
        <v>88.83</v>
      </c>
      <c r="D709" s="3176">
        <v>27.97</v>
      </c>
      <c r="F709" s="3177">
        <v>707</v>
      </c>
      <c r="G709" s="3175" t="s">
        <v>3999</v>
      </c>
      <c r="H709" s="3178">
        <v>-2102</v>
      </c>
      <c r="I709" s="3179">
        <v>6.86</v>
      </c>
      <c r="J709" s="3179">
        <v>2.16</v>
      </c>
      <c r="L709" s="3177">
        <v>707</v>
      </c>
      <c r="M709" s="3175">
        <v>-10707</v>
      </c>
      <c r="N709" s="3175" t="s">
        <v>3423</v>
      </c>
      <c r="O709" s="3176">
        <v>23.43</v>
      </c>
      <c r="P709" s="3176">
        <v>7.38</v>
      </c>
    </row>
    <row r="710" spans="1:16" ht="15" thickBot="1">
      <c r="A710" s="3174">
        <v>708</v>
      </c>
      <c r="B710" s="3175" t="s">
        <v>4141</v>
      </c>
      <c r="C710" s="3176">
        <v>89.11</v>
      </c>
      <c r="D710" s="3176">
        <v>28.06</v>
      </c>
      <c r="F710" s="3177">
        <v>708</v>
      </c>
      <c r="G710" s="3175" t="s">
        <v>3999</v>
      </c>
      <c r="H710" s="3178">
        <v>-2103</v>
      </c>
      <c r="I710" s="3179">
        <v>8.52</v>
      </c>
      <c r="J710" s="3179">
        <v>2.68</v>
      </c>
      <c r="L710" s="3177">
        <v>708</v>
      </c>
      <c r="M710" s="3175">
        <v>-10708</v>
      </c>
      <c r="N710" s="3175" t="s">
        <v>3423</v>
      </c>
      <c r="O710" s="3176">
        <v>23.43</v>
      </c>
      <c r="P710" s="3176">
        <v>7.38</v>
      </c>
    </row>
    <row r="711" spans="1:16" ht="15" thickBot="1">
      <c r="A711" s="3174">
        <v>709</v>
      </c>
      <c r="B711" s="3175" t="s">
        <v>4142</v>
      </c>
      <c r="C711" s="3176">
        <v>112.27</v>
      </c>
      <c r="D711" s="3176">
        <v>35.35</v>
      </c>
      <c r="F711" s="3177">
        <v>709</v>
      </c>
      <c r="G711" s="3175" t="s">
        <v>3999</v>
      </c>
      <c r="H711" s="3178">
        <v>-2104</v>
      </c>
      <c r="I711" s="3179">
        <v>8.66</v>
      </c>
      <c r="J711" s="3179">
        <v>2.73</v>
      </c>
      <c r="L711" s="3177">
        <v>709</v>
      </c>
      <c r="M711" s="3175">
        <v>-10709</v>
      </c>
      <c r="N711" s="3175" t="s">
        <v>3423</v>
      </c>
      <c r="O711" s="3176">
        <v>23.43</v>
      </c>
      <c r="P711" s="3176">
        <v>7.38</v>
      </c>
    </row>
    <row r="712" spans="1:16" ht="15" thickBot="1">
      <c r="A712" s="3174">
        <v>710</v>
      </c>
      <c r="B712" s="3175" t="s">
        <v>4143</v>
      </c>
      <c r="C712" s="3176">
        <v>88.83</v>
      </c>
      <c r="D712" s="3176">
        <v>27.97</v>
      </c>
      <c r="F712" s="3177">
        <v>710</v>
      </c>
      <c r="G712" s="3175" t="s">
        <v>3999</v>
      </c>
      <c r="H712" s="3178">
        <v>-2105</v>
      </c>
      <c r="I712" s="3179">
        <v>8.52</v>
      </c>
      <c r="J712" s="3179">
        <v>2.68</v>
      </c>
      <c r="L712" s="3177">
        <v>710</v>
      </c>
      <c r="M712" s="3175">
        <v>-10710</v>
      </c>
      <c r="N712" s="3175" t="s">
        <v>3423</v>
      </c>
      <c r="O712" s="3176">
        <v>23.43</v>
      </c>
      <c r="P712" s="3176">
        <v>7.38</v>
      </c>
    </row>
    <row r="713" spans="1:16" ht="15" thickBot="1">
      <c r="A713" s="3174">
        <v>711</v>
      </c>
      <c r="B713" s="3175" t="s">
        <v>4144</v>
      </c>
      <c r="C713" s="3176">
        <v>88.83</v>
      </c>
      <c r="D713" s="3176">
        <v>27.97</v>
      </c>
      <c r="F713" s="3177">
        <v>711</v>
      </c>
      <c r="G713" s="3175" t="s">
        <v>3999</v>
      </c>
      <c r="H713" s="3178">
        <v>-2106</v>
      </c>
      <c r="I713" s="3179">
        <v>7.29</v>
      </c>
      <c r="J713" s="3179">
        <v>2.2999999999999998</v>
      </c>
      <c r="L713" s="3177">
        <v>711</v>
      </c>
      <c r="M713" s="3175">
        <v>-10711</v>
      </c>
      <c r="N713" s="3175" t="s">
        <v>3423</v>
      </c>
      <c r="O713" s="3176">
        <v>23.43</v>
      </c>
      <c r="P713" s="3176">
        <v>7.38</v>
      </c>
    </row>
    <row r="714" spans="1:16" ht="15" thickBot="1">
      <c r="A714" s="3174">
        <v>712</v>
      </c>
      <c r="B714" s="3175" t="s">
        <v>4145</v>
      </c>
      <c r="C714" s="3176">
        <v>89.11</v>
      </c>
      <c r="D714" s="3176">
        <v>28.06</v>
      </c>
      <c r="F714" s="3177">
        <v>712</v>
      </c>
      <c r="G714" s="3175" t="s">
        <v>3999</v>
      </c>
      <c r="H714" s="3178">
        <v>-2107</v>
      </c>
      <c r="I714" s="3179">
        <v>7.08</v>
      </c>
      <c r="J714" s="3179">
        <v>2.23</v>
      </c>
      <c r="L714" s="3177">
        <v>712</v>
      </c>
      <c r="M714" s="3175">
        <v>-10712</v>
      </c>
      <c r="N714" s="3175" t="s">
        <v>3423</v>
      </c>
      <c r="O714" s="3176">
        <v>23.43</v>
      </c>
      <c r="P714" s="3176">
        <v>7.38</v>
      </c>
    </row>
    <row r="715" spans="1:16" ht="15" thickBot="1">
      <c r="A715" s="3174">
        <v>713</v>
      </c>
      <c r="B715" s="3175" t="s">
        <v>4146</v>
      </c>
      <c r="C715" s="3176">
        <v>112.27</v>
      </c>
      <c r="D715" s="3176">
        <v>35.35</v>
      </c>
      <c r="F715" s="3177">
        <v>713</v>
      </c>
      <c r="G715" s="3175" t="s">
        <v>3999</v>
      </c>
      <c r="H715" s="3178">
        <v>-2108</v>
      </c>
      <c r="I715" s="3179">
        <v>7.08</v>
      </c>
      <c r="J715" s="3179">
        <v>2.23</v>
      </c>
      <c r="L715" s="3177">
        <v>713</v>
      </c>
      <c r="M715" s="3175">
        <v>-10713</v>
      </c>
      <c r="N715" s="3175" t="s">
        <v>3423</v>
      </c>
      <c r="O715" s="3176">
        <v>23.43</v>
      </c>
      <c r="P715" s="3176">
        <v>7.38</v>
      </c>
    </row>
    <row r="716" spans="1:16" ht="15" thickBot="1">
      <c r="A716" s="3174">
        <v>714</v>
      </c>
      <c r="B716" s="3175" t="s">
        <v>4147</v>
      </c>
      <c r="C716" s="3176">
        <v>88.83</v>
      </c>
      <c r="D716" s="3176">
        <v>27.97</v>
      </c>
      <c r="F716" s="3177">
        <v>714</v>
      </c>
      <c r="G716" s="3175" t="s">
        <v>3999</v>
      </c>
      <c r="H716" s="3178">
        <v>-2109</v>
      </c>
      <c r="I716" s="3179">
        <v>7.38</v>
      </c>
      <c r="J716" s="3179">
        <v>2.3199999999999998</v>
      </c>
      <c r="L716" s="3177">
        <v>714</v>
      </c>
      <c r="M716" s="3175">
        <v>-10714</v>
      </c>
      <c r="N716" s="3175" t="s">
        <v>3423</v>
      </c>
      <c r="O716" s="3176">
        <v>23.43</v>
      </c>
      <c r="P716" s="3176">
        <v>7.38</v>
      </c>
    </row>
    <row r="717" spans="1:16" ht="15" thickBot="1">
      <c r="A717" s="3174">
        <v>715</v>
      </c>
      <c r="B717" s="3175" t="s">
        <v>4148</v>
      </c>
      <c r="C717" s="3176">
        <v>88.83</v>
      </c>
      <c r="D717" s="3176">
        <v>27.97</v>
      </c>
      <c r="F717" s="3177">
        <v>715</v>
      </c>
      <c r="G717" s="3175" t="s">
        <v>3999</v>
      </c>
      <c r="H717" s="3178">
        <v>-2110</v>
      </c>
      <c r="I717" s="3179">
        <v>7.38</v>
      </c>
      <c r="J717" s="3179">
        <v>2.3199999999999998</v>
      </c>
      <c r="L717" s="3177">
        <v>715</v>
      </c>
      <c r="M717" s="3175">
        <v>-10715</v>
      </c>
      <c r="N717" s="3175" t="s">
        <v>3423</v>
      </c>
      <c r="O717" s="3176">
        <v>23.43</v>
      </c>
      <c r="P717" s="3176">
        <v>7.38</v>
      </c>
    </row>
    <row r="718" spans="1:16" ht="15" thickBot="1">
      <c r="A718" s="3174">
        <v>716</v>
      </c>
      <c r="B718" s="3175" t="s">
        <v>4149</v>
      </c>
      <c r="C718" s="3176">
        <v>89.11</v>
      </c>
      <c r="D718" s="3176">
        <v>28.06</v>
      </c>
      <c r="F718" s="3177">
        <v>716</v>
      </c>
      <c r="G718" s="3175" t="s">
        <v>3999</v>
      </c>
      <c r="H718" s="3178">
        <v>-2111</v>
      </c>
      <c r="I718" s="3179">
        <v>7.08</v>
      </c>
      <c r="J718" s="3179">
        <v>2.23</v>
      </c>
      <c r="L718" s="3177">
        <v>716</v>
      </c>
      <c r="M718" s="3175">
        <v>-10716</v>
      </c>
      <c r="N718" s="3175" t="s">
        <v>3423</v>
      </c>
      <c r="O718" s="3176">
        <v>23.43</v>
      </c>
      <c r="P718" s="3176">
        <v>7.38</v>
      </c>
    </row>
    <row r="719" spans="1:16" ht="15" thickBot="1">
      <c r="A719" s="3174">
        <v>717</v>
      </c>
      <c r="B719" s="3175" t="s">
        <v>4150</v>
      </c>
      <c r="C719" s="3176">
        <v>112.27</v>
      </c>
      <c r="D719" s="3176">
        <v>35.35</v>
      </c>
      <c r="F719" s="3177">
        <v>717</v>
      </c>
      <c r="G719" s="3175" t="s">
        <v>3999</v>
      </c>
      <c r="H719" s="3178">
        <v>-2112</v>
      </c>
      <c r="I719" s="3179">
        <v>7.08</v>
      </c>
      <c r="J719" s="3179">
        <v>2.23</v>
      </c>
      <c r="L719" s="3177">
        <v>717</v>
      </c>
      <c r="M719" s="3175">
        <v>-10717</v>
      </c>
      <c r="N719" s="3175" t="s">
        <v>3423</v>
      </c>
      <c r="O719" s="3176">
        <v>23.43</v>
      </c>
      <c r="P719" s="3176">
        <v>7.38</v>
      </c>
    </row>
    <row r="720" spans="1:16" ht="15" thickBot="1">
      <c r="A720" s="3174">
        <v>718</v>
      </c>
      <c r="B720" s="3175" t="s">
        <v>4151</v>
      </c>
      <c r="C720" s="3176">
        <v>88.83</v>
      </c>
      <c r="D720" s="3176">
        <v>27.97</v>
      </c>
      <c r="F720" s="3177">
        <v>718</v>
      </c>
      <c r="G720" s="3175" t="s">
        <v>3999</v>
      </c>
      <c r="H720" s="3178">
        <v>-2113</v>
      </c>
      <c r="I720" s="3179">
        <v>7.29</v>
      </c>
      <c r="J720" s="3179">
        <v>2.2999999999999998</v>
      </c>
      <c r="L720" s="3177">
        <v>718</v>
      </c>
      <c r="M720" s="3175">
        <v>-10718</v>
      </c>
      <c r="N720" s="3175" t="s">
        <v>3423</v>
      </c>
      <c r="O720" s="3176">
        <v>23.43</v>
      </c>
      <c r="P720" s="3176">
        <v>7.38</v>
      </c>
    </row>
    <row r="721" spans="1:16" ht="15" thickBot="1">
      <c r="A721" s="3174">
        <v>719</v>
      </c>
      <c r="B721" s="3175" t="s">
        <v>4152</v>
      </c>
      <c r="C721" s="3176">
        <v>88.83</v>
      </c>
      <c r="D721" s="3176">
        <v>27.97</v>
      </c>
      <c r="F721" s="3177">
        <v>719</v>
      </c>
      <c r="G721" s="3175" t="s">
        <v>3999</v>
      </c>
      <c r="H721" s="3178">
        <v>-2114</v>
      </c>
      <c r="I721" s="3179">
        <v>8.52</v>
      </c>
      <c r="J721" s="3179">
        <v>2.68</v>
      </c>
      <c r="L721" s="3177">
        <v>719</v>
      </c>
      <c r="M721" s="3175">
        <v>-10719</v>
      </c>
      <c r="N721" s="3175" t="s">
        <v>3423</v>
      </c>
      <c r="O721" s="3176">
        <v>23.43</v>
      </c>
      <c r="P721" s="3176">
        <v>7.38</v>
      </c>
    </row>
    <row r="722" spans="1:16" ht="15" thickBot="1">
      <c r="A722" s="3174">
        <v>720</v>
      </c>
      <c r="B722" s="3175" t="s">
        <v>4153</v>
      </c>
      <c r="C722" s="3176">
        <v>89.11</v>
      </c>
      <c r="D722" s="3176">
        <v>28.06</v>
      </c>
      <c r="F722" s="3177">
        <v>720</v>
      </c>
      <c r="G722" s="3175" t="s">
        <v>3999</v>
      </c>
      <c r="H722" s="3178">
        <v>-2115</v>
      </c>
      <c r="I722" s="3179">
        <v>8.66</v>
      </c>
      <c r="J722" s="3179">
        <v>2.73</v>
      </c>
      <c r="L722" s="3177">
        <v>720</v>
      </c>
      <c r="M722" s="3175">
        <v>-10720</v>
      </c>
      <c r="N722" s="3175" t="s">
        <v>3423</v>
      </c>
      <c r="O722" s="3176">
        <v>23.43</v>
      </c>
      <c r="P722" s="3176">
        <v>7.38</v>
      </c>
    </row>
    <row r="723" spans="1:16" ht="15" thickBot="1">
      <c r="A723" s="3174">
        <v>721</v>
      </c>
      <c r="B723" s="3175" t="s">
        <v>4154</v>
      </c>
      <c r="C723" s="3176">
        <v>112.27</v>
      </c>
      <c r="D723" s="3176">
        <v>35.35</v>
      </c>
      <c r="F723" s="3177">
        <v>721</v>
      </c>
      <c r="G723" s="3175" t="s">
        <v>3999</v>
      </c>
      <c r="H723" s="3178">
        <v>-2116</v>
      </c>
      <c r="I723" s="3179">
        <v>8.52</v>
      </c>
      <c r="J723" s="3179">
        <v>2.68</v>
      </c>
      <c r="L723" s="3177">
        <v>721</v>
      </c>
      <c r="M723" s="3175">
        <v>-10721</v>
      </c>
      <c r="N723" s="3175" t="s">
        <v>3423</v>
      </c>
      <c r="O723" s="3176">
        <v>23.43</v>
      </c>
      <c r="P723" s="3176">
        <v>7.38</v>
      </c>
    </row>
    <row r="724" spans="1:16" ht="15" thickBot="1">
      <c r="A724" s="3174">
        <v>722</v>
      </c>
      <c r="B724" s="3175" t="s">
        <v>4155</v>
      </c>
      <c r="C724" s="3176">
        <v>88.83</v>
      </c>
      <c r="D724" s="3176">
        <v>27.97</v>
      </c>
      <c r="F724" s="3177">
        <v>722</v>
      </c>
      <c r="G724" s="3175" t="s">
        <v>4156</v>
      </c>
      <c r="H724" s="3178">
        <v>-2001</v>
      </c>
      <c r="I724" s="3179">
        <v>9.98</v>
      </c>
      <c r="J724" s="3179">
        <v>3.14</v>
      </c>
      <c r="L724" s="3177">
        <v>722</v>
      </c>
      <c r="M724" s="3175">
        <v>-10722</v>
      </c>
      <c r="N724" s="3175" t="s">
        <v>3423</v>
      </c>
      <c r="O724" s="3176">
        <v>23.43</v>
      </c>
      <c r="P724" s="3176">
        <v>7.38</v>
      </c>
    </row>
    <row r="725" spans="1:16" ht="15" thickBot="1">
      <c r="A725" s="3174">
        <v>723</v>
      </c>
      <c r="B725" s="3175" t="s">
        <v>4157</v>
      </c>
      <c r="C725" s="3176">
        <v>88.83</v>
      </c>
      <c r="D725" s="3176">
        <v>27.97</v>
      </c>
      <c r="F725" s="3177">
        <v>723</v>
      </c>
      <c r="G725" s="3175" t="s">
        <v>4156</v>
      </c>
      <c r="H725" s="3178">
        <v>-2002</v>
      </c>
      <c r="I725" s="3179">
        <v>13.26</v>
      </c>
      <c r="J725" s="3179">
        <v>4.17</v>
      </c>
      <c r="L725" s="3177">
        <v>723</v>
      </c>
      <c r="M725" s="3175">
        <v>-10723</v>
      </c>
      <c r="N725" s="3175" t="s">
        <v>3423</v>
      </c>
      <c r="O725" s="3176">
        <v>23.43</v>
      </c>
      <c r="P725" s="3176">
        <v>7.38</v>
      </c>
    </row>
    <row r="726" spans="1:16" ht="15" thickBot="1">
      <c r="A726" s="3174">
        <v>724</v>
      </c>
      <c r="B726" s="3175" t="s">
        <v>4158</v>
      </c>
      <c r="C726" s="3176">
        <v>89.11</v>
      </c>
      <c r="D726" s="3176">
        <v>28.06</v>
      </c>
      <c r="F726" s="3177">
        <v>724</v>
      </c>
      <c r="G726" s="3175" t="s">
        <v>4156</v>
      </c>
      <c r="H726" s="3178">
        <v>-2003</v>
      </c>
      <c r="I726" s="3179">
        <v>10.46</v>
      </c>
      <c r="J726" s="3179">
        <v>3.29</v>
      </c>
      <c r="L726" s="3177">
        <v>724</v>
      </c>
      <c r="M726" s="3175">
        <v>-10724</v>
      </c>
      <c r="N726" s="3175" t="s">
        <v>3423</v>
      </c>
      <c r="O726" s="3176">
        <v>23.43</v>
      </c>
      <c r="P726" s="3176">
        <v>7.38</v>
      </c>
    </row>
    <row r="727" spans="1:16" ht="15" thickBot="1">
      <c r="A727" s="3174">
        <v>725</v>
      </c>
      <c r="B727" s="3175" t="s">
        <v>4159</v>
      </c>
      <c r="C727" s="3176">
        <v>112.27</v>
      </c>
      <c r="D727" s="3176">
        <v>35.35</v>
      </c>
      <c r="F727" s="3177">
        <v>725</v>
      </c>
      <c r="G727" s="3175" t="s">
        <v>4156</v>
      </c>
      <c r="H727" s="3178">
        <v>-2004</v>
      </c>
      <c r="I727" s="3179">
        <v>11.07</v>
      </c>
      <c r="J727" s="3179">
        <v>3.49</v>
      </c>
      <c r="L727" s="3177">
        <v>725</v>
      </c>
      <c r="M727" s="3175">
        <v>-10725</v>
      </c>
      <c r="N727" s="3175" t="s">
        <v>3423</v>
      </c>
      <c r="O727" s="3176">
        <v>23.43</v>
      </c>
      <c r="P727" s="3176">
        <v>7.38</v>
      </c>
    </row>
    <row r="728" spans="1:16" ht="15" thickBot="1">
      <c r="A728" s="3174">
        <v>726</v>
      </c>
      <c r="B728" s="3175" t="s">
        <v>4160</v>
      </c>
      <c r="C728" s="3176">
        <v>88.83</v>
      </c>
      <c r="D728" s="3176">
        <v>27.97</v>
      </c>
      <c r="F728" s="3177">
        <v>726</v>
      </c>
      <c r="G728" s="3175" t="s">
        <v>4156</v>
      </c>
      <c r="H728" s="3178">
        <v>-2005</v>
      </c>
      <c r="I728" s="3179">
        <v>10.11</v>
      </c>
      <c r="J728" s="3179">
        <v>3.18</v>
      </c>
      <c r="L728" s="3177">
        <v>726</v>
      </c>
      <c r="M728" s="3175">
        <v>-10726</v>
      </c>
      <c r="N728" s="3175" t="s">
        <v>3423</v>
      </c>
      <c r="O728" s="3176">
        <v>23.43</v>
      </c>
      <c r="P728" s="3176">
        <v>7.38</v>
      </c>
    </row>
    <row r="729" spans="1:16" ht="15" thickBot="1">
      <c r="A729" s="3174">
        <v>727</v>
      </c>
      <c r="B729" s="3175" t="s">
        <v>4161</v>
      </c>
      <c r="C729" s="3176">
        <v>88.83</v>
      </c>
      <c r="D729" s="3176">
        <v>27.97</v>
      </c>
      <c r="F729" s="3177">
        <v>727</v>
      </c>
      <c r="G729" s="3175" t="s">
        <v>4156</v>
      </c>
      <c r="H729" s="3178">
        <v>-2006</v>
      </c>
      <c r="I729" s="3179">
        <v>10.39</v>
      </c>
      <c r="J729" s="3179">
        <v>3.27</v>
      </c>
      <c r="L729" s="3177">
        <v>727</v>
      </c>
      <c r="M729" s="3175">
        <v>-10727</v>
      </c>
      <c r="N729" s="3175" t="s">
        <v>3423</v>
      </c>
      <c r="O729" s="3176">
        <v>23.43</v>
      </c>
      <c r="P729" s="3176">
        <v>7.38</v>
      </c>
    </row>
    <row r="730" spans="1:16" ht="15" thickBot="1">
      <c r="A730" s="3174">
        <v>728</v>
      </c>
      <c r="B730" s="3175" t="s">
        <v>4162</v>
      </c>
      <c r="C730" s="3176">
        <v>89.11</v>
      </c>
      <c r="D730" s="3176">
        <v>28.06</v>
      </c>
      <c r="F730" s="3177">
        <v>728</v>
      </c>
      <c r="G730" s="3175" t="s">
        <v>4156</v>
      </c>
      <c r="H730" s="3178">
        <v>-2007</v>
      </c>
      <c r="I730" s="3179">
        <v>11.39</v>
      </c>
      <c r="J730" s="3179">
        <v>3.59</v>
      </c>
      <c r="L730" s="3177">
        <v>728</v>
      </c>
      <c r="M730" s="3175">
        <v>-10728</v>
      </c>
      <c r="N730" s="3175" t="s">
        <v>3423</v>
      </c>
      <c r="O730" s="3176">
        <v>23.43</v>
      </c>
      <c r="P730" s="3176">
        <v>7.38</v>
      </c>
    </row>
    <row r="731" spans="1:16" ht="15" thickBot="1">
      <c r="A731" s="3174">
        <v>729</v>
      </c>
      <c r="B731" s="3175" t="s">
        <v>4163</v>
      </c>
      <c r="C731" s="3176">
        <v>112.27</v>
      </c>
      <c r="D731" s="3176">
        <v>35.35</v>
      </c>
      <c r="F731" s="3177">
        <v>729</v>
      </c>
      <c r="G731" s="3175" t="s">
        <v>4156</v>
      </c>
      <c r="H731" s="3178">
        <v>-2008</v>
      </c>
      <c r="I731" s="3179">
        <v>11.39</v>
      </c>
      <c r="J731" s="3179">
        <v>3.59</v>
      </c>
      <c r="L731" s="3177">
        <v>729</v>
      </c>
      <c r="M731" s="3175">
        <v>-10729</v>
      </c>
      <c r="N731" s="3175" t="s">
        <v>3423</v>
      </c>
      <c r="O731" s="3176">
        <v>23.43</v>
      </c>
      <c r="P731" s="3176">
        <v>7.38</v>
      </c>
    </row>
    <row r="732" spans="1:16" ht="15" thickBot="1">
      <c r="A732" s="3174">
        <v>730</v>
      </c>
      <c r="B732" s="3175" t="s">
        <v>4164</v>
      </c>
      <c r="C732" s="3176">
        <v>88.83</v>
      </c>
      <c r="D732" s="3176">
        <v>27.97</v>
      </c>
      <c r="F732" s="3177">
        <v>730</v>
      </c>
      <c r="G732" s="3175" t="s">
        <v>4156</v>
      </c>
      <c r="H732" s="3178">
        <v>-2009</v>
      </c>
      <c r="I732" s="3179">
        <v>8.83</v>
      </c>
      <c r="J732" s="3179">
        <v>2.78</v>
      </c>
      <c r="L732" s="3177">
        <v>730</v>
      </c>
      <c r="M732" s="3175">
        <v>-10730</v>
      </c>
      <c r="N732" s="3175" t="s">
        <v>3423</v>
      </c>
      <c r="O732" s="3176">
        <v>23.43</v>
      </c>
      <c r="P732" s="3176">
        <v>7.38</v>
      </c>
    </row>
    <row r="733" spans="1:16" ht="15" thickBot="1">
      <c r="A733" s="3174">
        <v>731</v>
      </c>
      <c r="B733" s="3175" t="s">
        <v>4165</v>
      </c>
      <c r="C733" s="3176">
        <v>88.83</v>
      </c>
      <c r="D733" s="3176">
        <v>27.97</v>
      </c>
      <c r="F733" s="3177">
        <v>731</v>
      </c>
      <c r="G733" s="3175" t="s">
        <v>4156</v>
      </c>
      <c r="H733" s="3178">
        <v>-2010</v>
      </c>
      <c r="I733" s="3179">
        <v>8.74</v>
      </c>
      <c r="J733" s="3179">
        <v>2.75</v>
      </c>
      <c r="L733" s="3177">
        <v>731</v>
      </c>
      <c r="M733" s="3175">
        <v>-10731</v>
      </c>
      <c r="N733" s="3175" t="s">
        <v>3423</v>
      </c>
      <c r="O733" s="3176">
        <v>23.43</v>
      </c>
      <c r="P733" s="3176">
        <v>7.38</v>
      </c>
    </row>
    <row r="734" spans="1:16" ht="15" thickBot="1">
      <c r="A734" s="3174">
        <v>732</v>
      </c>
      <c r="B734" s="3175" t="s">
        <v>4166</v>
      </c>
      <c r="C734" s="3176">
        <v>89.11</v>
      </c>
      <c r="D734" s="3176">
        <v>28.06</v>
      </c>
      <c r="F734" s="3177">
        <v>732</v>
      </c>
      <c r="G734" s="3175" t="s">
        <v>4156</v>
      </c>
      <c r="H734" s="3178">
        <v>-2011</v>
      </c>
      <c r="I734" s="3179">
        <v>11.39</v>
      </c>
      <c r="J734" s="3179">
        <v>3.59</v>
      </c>
      <c r="L734" s="3177">
        <v>732</v>
      </c>
      <c r="M734" s="3175">
        <v>-10732</v>
      </c>
      <c r="N734" s="3175" t="s">
        <v>3423</v>
      </c>
      <c r="O734" s="3176">
        <v>23.43</v>
      </c>
      <c r="P734" s="3176">
        <v>7.38</v>
      </c>
    </row>
    <row r="735" spans="1:16" ht="15" thickBot="1">
      <c r="A735" s="3174">
        <v>733</v>
      </c>
      <c r="B735" s="3175" t="s">
        <v>4167</v>
      </c>
      <c r="C735" s="3176">
        <v>89.85</v>
      </c>
      <c r="D735" s="3176">
        <v>28.29</v>
      </c>
      <c r="F735" s="3177">
        <v>733</v>
      </c>
      <c r="G735" s="3175" t="s">
        <v>4156</v>
      </c>
      <c r="H735" s="3178">
        <v>-2012</v>
      </c>
      <c r="I735" s="3179">
        <v>11.39</v>
      </c>
      <c r="J735" s="3179">
        <v>3.59</v>
      </c>
      <c r="L735" s="3177">
        <v>733</v>
      </c>
      <c r="M735" s="3175">
        <v>-10733</v>
      </c>
      <c r="N735" s="3175" t="s">
        <v>3423</v>
      </c>
      <c r="O735" s="3176">
        <v>23.43</v>
      </c>
      <c r="P735" s="3176">
        <v>7.38</v>
      </c>
    </row>
    <row r="736" spans="1:16" ht="15" thickBot="1">
      <c r="A736" s="3174">
        <v>734</v>
      </c>
      <c r="B736" s="3175" t="s">
        <v>4168</v>
      </c>
      <c r="C736" s="3176">
        <v>89.47</v>
      </c>
      <c r="D736" s="3176">
        <v>28.17</v>
      </c>
      <c r="F736" s="3177">
        <v>734</v>
      </c>
      <c r="G736" s="3175" t="s">
        <v>4156</v>
      </c>
      <c r="H736" s="3178">
        <v>-2013</v>
      </c>
      <c r="I736" s="3179">
        <v>8.57</v>
      </c>
      <c r="J736" s="3179">
        <v>2.7</v>
      </c>
      <c r="L736" s="3177">
        <v>734</v>
      </c>
      <c r="M736" s="3175">
        <v>-10734</v>
      </c>
      <c r="N736" s="3175" t="s">
        <v>3423</v>
      </c>
      <c r="O736" s="3176">
        <v>23.43</v>
      </c>
      <c r="P736" s="3176">
        <v>7.38</v>
      </c>
    </row>
    <row r="737" spans="1:16" ht="15" thickBot="1">
      <c r="A737" s="3174">
        <v>735</v>
      </c>
      <c r="B737" s="3175" t="s">
        <v>4169</v>
      </c>
      <c r="C737" s="3176">
        <v>59.35</v>
      </c>
      <c r="D737" s="3176">
        <v>18.690000000000001</v>
      </c>
      <c r="F737" s="3177">
        <v>735</v>
      </c>
      <c r="G737" s="3175" t="s">
        <v>4156</v>
      </c>
      <c r="H737" s="3178">
        <v>-2014</v>
      </c>
      <c r="I737" s="3179">
        <v>8.8000000000000007</v>
      </c>
      <c r="J737" s="3179">
        <v>2.77</v>
      </c>
      <c r="L737" s="3177">
        <v>735</v>
      </c>
      <c r="M737" s="3175">
        <v>-10735</v>
      </c>
      <c r="N737" s="3175" t="s">
        <v>3423</v>
      </c>
      <c r="O737" s="3176">
        <v>23.43</v>
      </c>
      <c r="P737" s="3176">
        <v>7.38</v>
      </c>
    </row>
    <row r="738" spans="1:16" ht="15" thickBot="1">
      <c r="A738" s="3174">
        <v>736</v>
      </c>
      <c r="B738" s="3175" t="s">
        <v>4170</v>
      </c>
      <c r="C738" s="3176">
        <v>113.82</v>
      </c>
      <c r="D738" s="3176">
        <v>35.83</v>
      </c>
      <c r="F738" s="3177">
        <v>736</v>
      </c>
      <c r="G738" s="3175" t="s">
        <v>4156</v>
      </c>
      <c r="H738" s="3178">
        <v>-2015</v>
      </c>
      <c r="I738" s="3179">
        <v>10.63</v>
      </c>
      <c r="J738" s="3179">
        <v>3.35</v>
      </c>
      <c r="L738" s="3177">
        <v>736</v>
      </c>
      <c r="M738" s="3175">
        <v>-10736</v>
      </c>
      <c r="N738" s="3175" t="s">
        <v>3423</v>
      </c>
      <c r="O738" s="3176">
        <v>23.43</v>
      </c>
      <c r="P738" s="3176">
        <v>7.38</v>
      </c>
    </row>
    <row r="739" spans="1:16" ht="15" thickBot="1">
      <c r="A739" s="3174">
        <v>737</v>
      </c>
      <c r="B739" s="3175" t="s">
        <v>4171</v>
      </c>
      <c r="C739" s="3176">
        <v>89.85</v>
      </c>
      <c r="D739" s="3176">
        <v>28.29</v>
      </c>
      <c r="F739" s="3177">
        <v>737</v>
      </c>
      <c r="G739" s="3175" t="s">
        <v>4156</v>
      </c>
      <c r="H739" s="3178">
        <v>-2016</v>
      </c>
      <c r="I739" s="3179">
        <v>9.39</v>
      </c>
      <c r="J739" s="3179">
        <v>2.96</v>
      </c>
      <c r="L739" s="3177">
        <v>737</v>
      </c>
      <c r="M739" s="3175">
        <v>-10737</v>
      </c>
      <c r="N739" s="3175" t="s">
        <v>3423</v>
      </c>
      <c r="O739" s="3176">
        <v>23.43</v>
      </c>
      <c r="P739" s="3176">
        <v>7.38</v>
      </c>
    </row>
    <row r="740" spans="1:16" ht="15" thickBot="1">
      <c r="A740" s="3174">
        <v>738</v>
      </c>
      <c r="B740" s="3175" t="s">
        <v>4172</v>
      </c>
      <c r="C740" s="3176">
        <v>89.57</v>
      </c>
      <c r="D740" s="3176">
        <v>28.2</v>
      </c>
      <c r="F740" s="3177">
        <v>738</v>
      </c>
      <c r="G740" s="3175" t="s">
        <v>4156</v>
      </c>
      <c r="H740" s="3178">
        <v>-2017</v>
      </c>
      <c r="I740" s="3179">
        <v>8.1300000000000008</v>
      </c>
      <c r="J740" s="3179">
        <v>2.56</v>
      </c>
      <c r="L740" s="3177">
        <v>738</v>
      </c>
      <c r="M740" s="3175">
        <v>-10738</v>
      </c>
      <c r="N740" s="3175" t="s">
        <v>3423</v>
      </c>
      <c r="O740" s="3176">
        <v>23.43</v>
      </c>
      <c r="P740" s="3176">
        <v>7.38</v>
      </c>
    </row>
    <row r="741" spans="1:16" ht="15" thickBot="1">
      <c r="A741" s="3174">
        <v>739</v>
      </c>
      <c r="B741" s="3175" t="s">
        <v>4173</v>
      </c>
      <c r="C741" s="3176">
        <v>89.57</v>
      </c>
      <c r="D741" s="3176">
        <v>28.2</v>
      </c>
      <c r="F741" s="3177">
        <v>739</v>
      </c>
      <c r="G741" s="3175" t="s">
        <v>4156</v>
      </c>
      <c r="H741" s="3178">
        <v>-2018</v>
      </c>
      <c r="I741" s="3179">
        <v>7.31</v>
      </c>
      <c r="J741" s="3179">
        <v>2.2999999999999998</v>
      </c>
      <c r="L741" s="3177">
        <v>739</v>
      </c>
      <c r="M741" s="3175">
        <v>-10739</v>
      </c>
      <c r="N741" s="3175" t="s">
        <v>3423</v>
      </c>
      <c r="O741" s="3176">
        <v>23.43</v>
      </c>
      <c r="P741" s="3176">
        <v>7.38</v>
      </c>
    </row>
    <row r="742" spans="1:16" ht="15" thickBot="1">
      <c r="A742" s="3174">
        <v>740</v>
      </c>
      <c r="B742" s="3175" t="s">
        <v>4174</v>
      </c>
      <c r="C742" s="3176">
        <v>113.82</v>
      </c>
      <c r="D742" s="3176">
        <v>35.83</v>
      </c>
      <c r="F742" s="3177">
        <v>740</v>
      </c>
      <c r="G742" s="3175" t="s">
        <v>4156</v>
      </c>
      <c r="H742" s="3178">
        <v>-2019</v>
      </c>
      <c r="I742" s="3179">
        <v>11.98</v>
      </c>
      <c r="J742" s="3179">
        <v>3.77</v>
      </c>
      <c r="L742" s="3177">
        <v>740</v>
      </c>
      <c r="M742" s="3175">
        <v>-10740</v>
      </c>
      <c r="N742" s="3175" t="s">
        <v>3423</v>
      </c>
      <c r="O742" s="3176">
        <v>23.43</v>
      </c>
      <c r="P742" s="3176">
        <v>7.38</v>
      </c>
    </row>
    <row r="743" spans="1:16" ht="15" thickBot="1">
      <c r="A743" s="3174">
        <v>741</v>
      </c>
      <c r="B743" s="3175" t="s">
        <v>4175</v>
      </c>
      <c r="C743" s="3176">
        <v>89.85</v>
      </c>
      <c r="D743" s="3176">
        <v>28.29</v>
      </c>
      <c r="F743" s="3177">
        <v>741</v>
      </c>
      <c r="G743" s="3175" t="s">
        <v>4156</v>
      </c>
      <c r="H743" s="3178">
        <v>-2020</v>
      </c>
      <c r="I743" s="3179">
        <v>16.239999999999998</v>
      </c>
      <c r="J743" s="3179">
        <v>5.1100000000000003</v>
      </c>
      <c r="L743" s="3177">
        <v>741</v>
      </c>
      <c r="M743" s="3175">
        <v>-10741</v>
      </c>
      <c r="N743" s="3175" t="s">
        <v>3423</v>
      </c>
      <c r="O743" s="3176">
        <v>23.43</v>
      </c>
      <c r="P743" s="3176">
        <v>7.38</v>
      </c>
    </row>
    <row r="744" spans="1:16" ht="15" thickBot="1">
      <c r="A744" s="3174">
        <v>742</v>
      </c>
      <c r="B744" s="3175" t="s">
        <v>4176</v>
      </c>
      <c r="C744" s="3176">
        <v>89.57</v>
      </c>
      <c r="D744" s="3176">
        <v>28.2</v>
      </c>
      <c r="F744" s="3177">
        <v>742</v>
      </c>
      <c r="G744" s="3175" t="s">
        <v>4156</v>
      </c>
      <c r="H744" s="3178">
        <v>-2021</v>
      </c>
      <c r="I744" s="3179">
        <v>7.67</v>
      </c>
      <c r="J744" s="3179">
        <v>2.41</v>
      </c>
      <c r="L744" s="3177">
        <v>742</v>
      </c>
      <c r="M744" s="3175">
        <v>-10742</v>
      </c>
      <c r="N744" s="3175" t="s">
        <v>3423</v>
      </c>
      <c r="O744" s="3176">
        <v>23.43</v>
      </c>
      <c r="P744" s="3176">
        <v>7.38</v>
      </c>
    </row>
    <row r="745" spans="1:16" ht="15" thickBot="1">
      <c r="A745" s="3174">
        <v>743</v>
      </c>
      <c r="B745" s="3175" t="s">
        <v>4177</v>
      </c>
      <c r="C745" s="3176">
        <v>89.57</v>
      </c>
      <c r="D745" s="3176">
        <v>28.2</v>
      </c>
      <c r="F745" s="3177">
        <v>743</v>
      </c>
      <c r="G745" s="3175" t="s">
        <v>4156</v>
      </c>
      <c r="H745" s="3178">
        <v>-2022</v>
      </c>
      <c r="I745" s="3179">
        <v>7.46</v>
      </c>
      <c r="J745" s="3179">
        <v>2.35</v>
      </c>
      <c r="L745" s="3177">
        <v>743</v>
      </c>
      <c r="M745" s="3175">
        <v>-10743</v>
      </c>
      <c r="N745" s="3175" t="s">
        <v>3423</v>
      </c>
      <c r="O745" s="3176">
        <v>23.43</v>
      </c>
      <c r="P745" s="3176">
        <v>7.38</v>
      </c>
    </row>
    <row r="746" spans="1:16" ht="15" thickBot="1">
      <c r="A746" s="3174">
        <v>744</v>
      </c>
      <c r="B746" s="3175" t="s">
        <v>4178</v>
      </c>
      <c r="C746" s="3176">
        <v>113.82</v>
      </c>
      <c r="D746" s="3176">
        <v>35.83</v>
      </c>
      <c r="F746" s="3177">
        <v>744</v>
      </c>
      <c r="G746" s="3175" t="s">
        <v>4156</v>
      </c>
      <c r="H746" s="3178">
        <v>-2023</v>
      </c>
      <c r="I746" s="3179">
        <v>8.91</v>
      </c>
      <c r="J746" s="3179">
        <v>2.81</v>
      </c>
      <c r="L746" s="3177">
        <v>744</v>
      </c>
      <c r="M746" s="3175">
        <v>-10744</v>
      </c>
      <c r="N746" s="3175" t="s">
        <v>3423</v>
      </c>
      <c r="O746" s="3176">
        <v>23.43</v>
      </c>
      <c r="P746" s="3176">
        <v>7.38</v>
      </c>
    </row>
    <row r="747" spans="1:16" ht="15" thickBot="1">
      <c r="A747" s="3174">
        <v>745</v>
      </c>
      <c r="B747" s="3175" t="s">
        <v>4179</v>
      </c>
      <c r="C747" s="3176">
        <v>89.85</v>
      </c>
      <c r="D747" s="3176">
        <v>28.29</v>
      </c>
      <c r="F747" s="3177">
        <v>745</v>
      </c>
      <c r="G747" s="3175" t="s">
        <v>4156</v>
      </c>
      <c r="H747" s="3178">
        <v>-2024</v>
      </c>
      <c r="I747" s="3179">
        <v>8.5</v>
      </c>
      <c r="J747" s="3179">
        <v>2.68</v>
      </c>
      <c r="L747" s="3177">
        <v>745</v>
      </c>
      <c r="M747" s="3175">
        <v>-10745</v>
      </c>
      <c r="N747" s="3175" t="s">
        <v>3423</v>
      </c>
      <c r="O747" s="3176">
        <v>23.43</v>
      </c>
      <c r="P747" s="3176">
        <v>7.38</v>
      </c>
    </row>
    <row r="748" spans="1:16" ht="15" thickBot="1">
      <c r="A748" s="3174">
        <v>746</v>
      </c>
      <c r="B748" s="3175" t="s">
        <v>4180</v>
      </c>
      <c r="C748" s="3176">
        <v>89.57</v>
      </c>
      <c r="D748" s="3176">
        <v>28.2</v>
      </c>
      <c r="F748" s="3177">
        <v>746</v>
      </c>
      <c r="G748" s="3175" t="s">
        <v>4156</v>
      </c>
      <c r="H748" s="3178">
        <v>-2025</v>
      </c>
      <c r="I748" s="3179">
        <v>9</v>
      </c>
      <c r="J748" s="3179">
        <v>2.83</v>
      </c>
      <c r="L748" s="3177">
        <v>746</v>
      </c>
      <c r="M748" s="3175">
        <v>-10746</v>
      </c>
      <c r="N748" s="3175" t="s">
        <v>3423</v>
      </c>
      <c r="O748" s="3176">
        <v>23.43</v>
      </c>
      <c r="P748" s="3176">
        <v>7.38</v>
      </c>
    </row>
    <row r="749" spans="1:16" ht="15" thickBot="1">
      <c r="A749" s="3174">
        <v>747</v>
      </c>
      <c r="B749" s="3175" t="s">
        <v>4181</v>
      </c>
      <c r="C749" s="3176">
        <v>89.57</v>
      </c>
      <c r="D749" s="3176">
        <v>28.2</v>
      </c>
      <c r="F749" s="3177">
        <v>747</v>
      </c>
      <c r="G749" s="3175" t="s">
        <v>4156</v>
      </c>
      <c r="H749" s="3178">
        <v>-2026</v>
      </c>
      <c r="I749" s="3179">
        <v>11.7</v>
      </c>
      <c r="J749" s="3179">
        <v>3.68</v>
      </c>
      <c r="L749" s="3177">
        <v>747</v>
      </c>
      <c r="M749" s="3175">
        <v>-10747</v>
      </c>
      <c r="N749" s="3175" t="s">
        <v>3423</v>
      </c>
      <c r="O749" s="3176">
        <v>23.43</v>
      </c>
      <c r="P749" s="3176">
        <v>7.38</v>
      </c>
    </row>
    <row r="750" spans="1:16" ht="15" thickBot="1">
      <c r="A750" s="3174">
        <v>748</v>
      </c>
      <c r="B750" s="3175" t="s">
        <v>4182</v>
      </c>
      <c r="C750" s="3176">
        <v>113.82</v>
      </c>
      <c r="D750" s="3176">
        <v>35.83</v>
      </c>
      <c r="F750" s="3177">
        <v>748</v>
      </c>
      <c r="G750" s="3175" t="s">
        <v>4156</v>
      </c>
      <c r="H750" s="3178">
        <v>-2027</v>
      </c>
      <c r="I750" s="3179">
        <v>9.5</v>
      </c>
      <c r="J750" s="3179">
        <v>2.99</v>
      </c>
      <c r="L750" s="3177">
        <v>748</v>
      </c>
      <c r="M750" s="3175">
        <v>-10748</v>
      </c>
      <c r="N750" s="3175" t="s">
        <v>3423</v>
      </c>
      <c r="O750" s="3176">
        <v>23.43</v>
      </c>
      <c r="P750" s="3176">
        <v>7.38</v>
      </c>
    </row>
    <row r="751" spans="1:16" ht="15" thickBot="1">
      <c r="A751" s="3174">
        <v>749</v>
      </c>
      <c r="B751" s="3175" t="s">
        <v>4183</v>
      </c>
      <c r="C751" s="3176">
        <v>89.85</v>
      </c>
      <c r="D751" s="3176">
        <v>28.29</v>
      </c>
      <c r="F751" s="3177">
        <v>749</v>
      </c>
      <c r="G751" s="3175" t="s">
        <v>4156</v>
      </c>
      <c r="H751" s="3178">
        <v>-2028</v>
      </c>
      <c r="I751" s="3179">
        <v>9.65</v>
      </c>
      <c r="J751" s="3179">
        <v>3.04</v>
      </c>
      <c r="L751" s="3177">
        <v>749</v>
      </c>
      <c r="M751" s="3175">
        <v>-10749</v>
      </c>
      <c r="N751" s="3175" t="s">
        <v>3423</v>
      </c>
      <c r="O751" s="3176">
        <v>23.43</v>
      </c>
      <c r="P751" s="3176">
        <v>7.38</v>
      </c>
    </row>
    <row r="752" spans="1:16" ht="15" thickBot="1">
      <c r="A752" s="3174">
        <v>750</v>
      </c>
      <c r="B752" s="3175" t="s">
        <v>4184</v>
      </c>
      <c r="C752" s="3176">
        <v>89.57</v>
      </c>
      <c r="D752" s="3176">
        <v>28.2</v>
      </c>
      <c r="F752" s="3177">
        <v>750</v>
      </c>
      <c r="G752" s="3175" t="s">
        <v>4156</v>
      </c>
      <c r="H752" s="3178">
        <v>-2029</v>
      </c>
      <c r="I752" s="3179">
        <v>9.5</v>
      </c>
      <c r="J752" s="3179">
        <v>2.99</v>
      </c>
      <c r="L752" s="3177">
        <v>750</v>
      </c>
      <c r="M752" s="3175">
        <v>-10750</v>
      </c>
      <c r="N752" s="3175" t="s">
        <v>3423</v>
      </c>
      <c r="O752" s="3176">
        <v>23.43</v>
      </c>
      <c r="P752" s="3176">
        <v>7.38</v>
      </c>
    </row>
    <row r="753" spans="1:16" ht="15" thickBot="1">
      <c r="A753" s="3174">
        <v>751</v>
      </c>
      <c r="B753" s="3175" t="s">
        <v>4185</v>
      </c>
      <c r="C753" s="3176">
        <v>89.57</v>
      </c>
      <c r="D753" s="3176">
        <v>28.2</v>
      </c>
      <c r="F753" s="3177">
        <v>751</v>
      </c>
      <c r="G753" s="3175" t="s">
        <v>4156</v>
      </c>
      <c r="H753" s="3178">
        <v>-2030</v>
      </c>
      <c r="I753" s="3179">
        <v>8.1300000000000008</v>
      </c>
      <c r="J753" s="3179">
        <v>2.56</v>
      </c>
      <c r="L753" s="3177">
        <v>751</v>
      </c>
      <c r="M753" s="3175">
        <v>-10751</v>
      </c>
      <c r="N753" s="3175" t="s">
        <v>3423</v>
      </c>
      <c r="O753" s="3176">
        <v>23.43</v>
      </c>
      <c r="P753" s="3176">
        <v>7.38</v>
      </c>
    </row>
    <row r="754" spans="1:16" ht="15" thickBot="1">
      <c r="A754" s="3174">
        <v>752</v>
      </c>
      <c r="B754" s="3175" t="s">
        <v>4186</v>
      </c>
      <c r="C754" s="3176">
        <v>113.82</v>
      </c>
      <c r="D754" s="3176">
        <v>35.83</v>
      </c>
      <c r="F754" s="3177">
        <v>752</v>
      </c>
      <c r="G754" s="3175" t="s">
        <v>4156</v>
      </c>
      <c r="H754" s="3178">
        <v>-2031</v>
      </c>
      <c r="I754" s="3179">
        <v>7.89</v>
      </c>
      <c r="J754" s="3179">
        <v>2.48</v>
      </c>
      <c r="L754" s="3177">
        <v>752</v>
      </c>
      <c r="M754" s="3175">
        <v>-20001</v>
      </c>
      <c r="N754" s="3175" t="s">
        <v>4187</v>
      </c>
      <c r="O754" s="3176">
        <v>26.98</v>
      </c>
      <c r="P754" s="3176">
        <v>8.49</v>
      </c>
    </row>
    <row r="755" spans="1:16" ht="15" thickBot="1">
      <c r="A755" s="3174">
        <v>753</v>
      </c>
      <c r="B755" s="3175" t="s">
        <v>4188</v>
      </c>
      <c r="C755" s="3176">
        <v>89.85</v>
      </c>
      <c r="D755" s="3176">
        <v>28.29</v>
      </c>
      <c r="F755" s="3177">
        <v>753</v>
      </c>
      <c r="G755" s="3175" t="s">
        <v>4156</v>
      </c>
      <c r="H755" s="3178">
        <v>-2032</v>
      </c>
      <c r="I755" s="3179">
        <v>7.89</v>
      </c>
      <c r="J755" s="3179">
        <v>2.48</v>
      </c>
      <c r="L755" s="3177">
        <v>753</v>
      </c>
      <c r="M755" s="3175">
        <v>-20002</v>
      </c>
      <c r="N755" s="3175" t="s">
        <v>4187</v>
      </c>
      <c r="O755" s="3176">
        <v>26.98</v>
      </c>
      <c r="P755" s="3176">
        <v>8.49</v>
      </c>
    </row>
    <row r="756" spans="1:16" ht="15" thickBot="1">
      <c r="A756" s="3174">
        <v>754</v>
      </c>
      <c r="B756" s="3175" t="s">
        <v>4189</v>
      </c>
      <c r="C756" s="3176">
        <v>89.57</v>
      </c>
      <c r="D756" s="3176">
        <v>28.2</v>
      </c>
      <c r="F756" s="3177">
        <v>754</v>
      </c>
      <c r="G756" s="3175" t="s">
        <v>4156</v>
      </c>
      <c r="H756" s="3178">
        <v>-2033</v>
      </c>
      <c r="I756" s="3179">
        <v>8.39</v>
      </c>
      <c r="J756" s="3179">
        <v>2.64</v>
      </c>
      <c r="L756" s="3177">
        <v>754</v>
      </c>
      <c r="M756" s="3175">
        <v>-20003</v>
      </c>
      <c r="N756" s="3175" t="s">
        <v>4187</v>
      </c>
      <c r="O756" s="3176">
        <v>26.98</v>
      </c>
      <c r="P756" s="3176">
        <v>8.49</v>
      </c>
    </row>
    <row r="757" spans="1:16" ht="15" thickBot="1">
      <c r="A757" s="3174">
        <v>755</v>
      </c>
      <c r="B757" s="3175" t="s">
        <v>4190</v>
      </c>
      <c r="C757" s="3176">
        <v>89.57</v>
      </c>
      <c r="D757" s="3176">
        <v>28.2</v>
      </c>
      <c r="F757" s="3177">
        <v>755</v>
      </c>
      <c r="G757" s="3175" t="s">
        <v>4156</v>
      </c>
      <c r="H757" s="3178">
        <v>-2034</v>
      </c>
      <c r="I757" s="3179">
        <v>8.39</v>
      </c>
      <c r="J757" s="3179">
        <v>2.64</v>
      </c>
      <c r="L757" s="3177">
        <v>755</v>
      </c>
      <c r="M757" s="3175">
        <v>-20004</v>
      </c>
      <c r="N757" s="3175" t="s">
        <v>4187</v>
      </c>
      <c r="O757" s="3176">
        <v>26.98</v>
      </c>
      <c r="P757" s="3176">
        <v>8.49</v>
      </c>
    </row>
    <row r="758" spans="1:16" ht="15" thickBot="1">
      <c r="A758" s="3174">
        <v>756</v>
      </c>
      <c r="B758" s="3175" t="s">
        <v>4191</v>
      </c>
      <c r="C758" s="3176">
        <v>113.82</v>
      </c>
      <c r="D758" s="3176">
        <v>35.83</v>
      </c>
      <c r="F758" s="3177">
        <v>756</v>
      </c>
      <c r="G758" s="3175" t="s">
        <v>4156</v>
      </c>
      <c r="H758" s="3178">
        <v>-2035</v>
      </c>
      <c r="I758" s="3179">
        <v>7.89</v>
      </c>
      <c r="J758" s="3179">
        <v>2.48</v>
      </c>
      <c r="L758" s="3177">
        <v>756</v>
      </c>
      <c r="M758" s="3175">
        <v>-20005</v>
      </c>
      <c r="N758" s="3175" t="s">
        <v>4187</v>
      </c>
      <c r="O758" s="3176">
        <v>26.98</v>
      </c>
      <c r="P758" s="3176">
        <v>8.49</v>
      </c>
    </row>
    <row r="759" spans="1:16" ht="15" thickBot="1">
      <c r="A759" s="3174">
        <v>757</v>
      </c>
      <c r="B759" s="3175" t="s">
        <v>4192</v>
      </c>
      <c r="C759" s="3176">
        <v>89.85</v>
      </c>
      <c r="D759" s="3176">
        <v>28.29</v>
      </c>
      <c r="F759" s="3177">
        <v>757</v>
      </c>
      <c r="G759" s="3175" t="s">
        <v>4156</v>
      </c>
      <c r="H759" s="3178">
        <v>-2036</v>
      </c>
      <c r="I759" s="3179">
        <v>7.89</v>
      </c>
      <c r="J759" s="3179">
        <v>2.48</v>
      </c>
      <c r="L759" s="3177">
        <v>757</v>
      </c>
      <c r="M759" s="3175">
        <v>-20006</v>
      </c>
      <c r="N759" s="3175" t="s">
        <v>4187</v>
      </c>
      <c r="O759" s="3176">
        <v>26.98</v>
      </c>
      <c r="P759" s="3176">
        <v>8.49</v>
      </c>
    </row>
    <row r="760" spans="1:16" ht="15" thickBot="1">
      <c r="A760" s="3174">
        <v>758</v>
      </c>
      <c r="B760" s="3175" t="s">
        <v>4193</v>
      </c>
      <c r="C760" s="3176">
        <v>89.57</v>
      </c>
      <c r="D760" s="3176">
        <v>28.2</v>
      </c>
      <c r="F760" s="3177">
        <v>758</v>
      </c>
      <c r="G760" s="3175" t="s">
        <v>4156</v>
      </c>
      <c r="H760" s="3178">
        <v>-2037</v>
      </c>
      <c r="I760" s="3179">
        <v>8.1300000000000008</v>
      </c>
      <c r="J760" s="3179">
        <v>2.56</v>
      </c>
      <c r="L760" s="3177">
        <v>758</v>
      </c>
      <c r="M760" s="3175">
        <v>-20007</v>
      </c>
      <c r="N760" s="3175" t="s">
        <v>4187</v>
      </c>
      <c r="O760" s="3176">
        <v>26.98</v>
      </c>
      <c r="P760" s="3176">
        <v>8.49</v>
      </c>
    </row>
    <row r="761" spans="1:16" ht="15" thickBot="1">
      <c r="A761" s="3174">
        <v>759</v>
      </c>
      <c r="B761" s="3175" t="s">
        <v>4194</v>
      </c>
      <c r="C761" s="3176">
        <v>89.57</v>
      </c>
      <c r="D761" s="3176">
        <v>28.2</v>
      </c>
      <c r="F761" s="3177">
        <v>759</v>
      </c>
      <c r="G761" s="3175" t="s">
        <v>4156</v>
      </c>
      <c r="H761" s="3178">
        <v>-2038</v>
      </c>
      <c r="I761" s="3179">
        <v>9.5</v>
      </c>
      <c r="J761" s="3179">
        <v>2.99</v>
      </c>
      <c r="L761" s="3177">
        <v>759</v>
      </c>
      <c r="M761" s="3175">
        <v>-20008</v>
      </c>
      <c r="N761" s="3175" t="s">
        <v>4187</v>
      </c>
      <c r="O761" s="3176">
        <v>26.98</v>
      </c>
      <c r="P761" s="3176">
        <v>8.49</v>
      </c>
    </row>
    <row r="762" spans="1:16" ht="15" thickBot="1">
      <c r="A762" s="3174">
        <v>760</v>
      </c>
      <c r="B762" s="3175" t="s">
        <v>4195</v>
      </c>
      <c r="C762" s="3176">
        <v>113.82</v>
      </c>
      <c r="D762" s="3176">
        <v>35.83</v>
      </c>
      <c r="F762" s="3177">
        <v>760</v>
      </c>
      <c r="G762" s="3175" t="s">
        <v>4156</v>
      </c>
      <c r="H762" s="3178">
        <v>-2039</v>
      </c>
      <c r="I762" s="3179">
        <v>9.65</v>
      </c>
      <c r="J762" s="3179">
        <v>3.04</v>
      </c>
      <c r="L762" s="3177">
        <v>760</v>
      </c>
      <c r="M762" s="3175">
        <v>-20009</v>
      </c>
      <c r="N762" s="3175" t="s">
        <v>4187</v>
      </c>
      <c r="O762" s="3176">
        <v>26.98</v>
      </c>
      <c r="P762" s="3176">
        <v>8.49</v>
      </c>
    </row>
    <row r="763" spans="1:16" ht="15" thickBot="1">
      <c r="A763" s="3174">
        <v>761</v>
      </c>
      <c r="B763" s="3175" t="s">
        <v>4196</v>
      </c>
      <c r="C763" s="3176">
        <v>89.85</v>
      </c>
      <c r="D763" s="3176">
        <v>28.29</v>
      </c>
      <c r="F763" s="3177">
        <v>761</v>
      </c>
      <c r="G763" s="3175" t="s">
        <v>4156</v>
      </c>
      <c r="H763" s="3178">
        <v>-2040</v>
      </c>
      <c r="I763" s="3179">
        <v>9.5</v>
      </c>
      <c r="J763" s="3179">
        <v>2.99</v>
      </c>
      <c r="L763" s="3177">
        <v>761</v>
      </c>
      <c r="M763" s="3175">
        <v>-20010</v>
      </c>
      <c r="N763" s="3175" t="s">
        <v>4187</v>
      </c>
      <c r="O763" s="3176">
        <v>26.98</v>
      </c>
      <c r="P763" s="3176">
        <v>8.49</v>
      </c>
    </row>
    <row r="764" spans="1:16" ht="15" thickBot="1">
      <c r="A764" s="3174">
        <v>762</v>
      </c>
      <c r="B764" s="3175" t="s">
        <v>4197</v>
      </c>
      <c r="C764" s="3176">
        <v>89.57</v>
      </c>
      <c r="D764" s="3176">
        <v>28.2</v>
      </c>
      <c r="F764" s="3177">
        <v>762</v>
      </c>
      <c r="G764" s="3175" t="s">
        <v>4156</v>
      </c>
      <c r="H764" s="3178">
        <v>-2041</v>
      </c>
      <c r="I764" s="3179">
        <v>12.37</v>
      </c>
      <c r="J764" s="3179">
        <v>3.89</v>
      </c>
      <c r="L764" s="3177">
        <v>762</v>
      </c>
      <c r="M764" s="3175">
        <v>-20011</v>
      </c>
      <c r="N764" s="3175" t="s">
        <v>4187</v>
      </c>
      <c r="O764" s="3176">
        <v>26.98</v>
      </c>
      <c r="P764" s="3176">
        <v>8.49</v>
      </c>
    </row>
    <row r="765" spans="1:16" ht="15" thickBot="1">
      <c r="A765" s="3174">
        <v>763</v>
      </c>
      <c r="B765" s="3175" t="s">
        <v>4198</v>
      </c>
      <c r="C765" s="3176">
        <v>89.57</v>
      </c>
      <c r="D765" s="3176">
        <v>28.2</v>
      </c>
      <c r="F765" s="3177">
        <v>763</v>
      </c>
      <c r="G765" s="3175" t="s">
        <v>4156</v>
      </c>
      <c r="H765" s="3178">
        <v>-2042</v>
      </c>
      <c r="I765" s="3179">
        <v>9.3000000000000007</v>
      </c>
      <c r="J765" s="3179">
        <v>2.93</v>
      </c>
      <c r="L765" s="3177">
        <v>763</v>
      </c>
      <c r="M765" s="3175">
        <v>-20012</v>
      </c>
      <c r="N765" s="3175" t="s">
        <v>4187</v>
      </c>
      <c r="O765" s="3176">
        <v>26.98</v>
      </c>
      <c r="P765" s="3176">
        <v>8.49</v>
      </c>
    </row>
    <row r="766" spans="1:16" ht="15" thickBot="1">
      <c r="A766" s="3174">
        <v>764</v>
      </c>
      <c r="B766" s="3175" t="s">
        <v>4199</v>
      </c>
      <c r="C766" s="3176">
        <v>113.82</v>
      </c>
      <c r="D766" s="3176">
        <v>35.83</v>
      </c>
      <c r="F766" s="3177">
        <v>764</v>
      </c>
      <c r="G766" s="3175" t="s">
        <v>4156</v>
      </c>
      <c r="H766" s="3178">
        <v>-2043</v>
      </c>
      <c r="I766" s="3179">
        <v>9.4600000000000009</v>
      </c>
      <c r="J766" s="3179">
        <v>2.98</v>
      </c>
      <c r="L766" s="3177">
        <v>764</v>
      </c>
      <c r="M766" s="3175">
        <v>-20013</v>
      </c>
      <c r="N766" s="3175" t="s">
        <v>4187</v>
      </c>
      <c r="O766" s="3176">
        <v>26.98</v>
      </c>
      <c r="P766" s="3176">
        <v>8.49</v>
      </c>
    </row>
    <row r="767" spans="1:16" ht="15" thickBot="1">
      <c r="A767" s="3174">
        <v>765</v>
      </c>
      <c r="B767" s="3175" t="s">
        <v>4200</v>
      </c>
      <c r="C767" s="3176">
        <v>89.85</v>
      </c>
      <c r="D767" s="3176">
        <v>28.29</v>
      </c>
      <c r="F767" s="3177">
        <v>765</v>
      </c>
      <c r="G767" s="3175" t="s">
        <v>4156</v>
      </c>
      <c r="H767" s="3178">
        <v>-2044</v>
      </c>
      <c r="I767" s="3179">
        <v>12.91</v>
      </c>
      <c r="J767" s="3179">
        <v>4.0599999999999996</v>
      </c>
      <c r="L767" s="3177">
        <v>765</v>
      </c>
      <c r="M767" s="3175">
        <v>-20014</v>
      </c>
      <c r="N767" s="3175" t="s">
        <v>4187</v>
      </c>
      <c r="O767" s="3176">
        <v>26.98</v>
      </c>
      <c r="P767" s="3176">
        <v>8.49</v>
      </c>
    </row>
    <row r="768" spans="1:16" ht="15" thickBot="1">
      <c r="A768" s="3174">
        <v>766</v>
      </c>
      <c r="B768" s="3175" t="s">
        <v>4201</v>
      </c>
      <c r="C768" s="3176">
        <v>89.57</v>
      </c>
      <c r="D768" s="3176">
        <v>28.2</v>
      </c>
      <c r="F768" s="3177">
        <v>766</v>
      </c>
      <c r="G768" s="3175" t="s">
        <v>4156</v>
      </c>
      <c r="H768" s="3178">
        <v>-2045</v>
      </c>
      <c r="I768" s="3179">
        <v>12.91</v>
      </c>
      <c r="J768" s="3179">
        <v>4.0599999999999996</v>
      </c>
      <c r="L768" s="3177">
        <v>766</v>
      </c>
      <c r="M768" s="3175">
        <v>-20015</v>
      </c>
      <c r="N768" s="3175" t="s">
        <v>4187</v>
      </c>
      <c r="O768" s="3176">
        <v>26.98</v>
      </c>
      <c r="P768" s="3176">
        <v>8.49</v>
      </c>
    </row>
    <row r="769" spans="1:16" ht="15" thickBot="1">
      <c r="A769" s="3174">
        <v>767</v>
      </c>
      <c r="B769" s="3175" t="s">
        <v>4202</v>
      </c>
      <c r="C769" s="3176">
        <v>89.57</v>
      </c>
      <c r="D769" s="3176">
        <v>28.2</v>
      </c>
      <c r="F769" s="3177">
        <v>767</v>
      </c>
      <c r="G769" s="3175" t="s">
        <v>4156</v>
      </c>
      <c r="H769" s="3178">
        <v>-2046</v>
      </c>
      <c r="I769" s="3179">
        <v>12.91</v>
      </c>
      <c r="J769" s="3179">
        <v>4.0599999999999996</v>
      </c>
      <c r="L769" s="3177">
        <v>767</v>
      </c>
      <c r="M769" s="3175">
        <v>-20016</v>
      </c>
      <c r="N769" s="3175" t="s">
        <v>4187</v>
      </c>
      <c r="O769" s="3176">
        <v>26.98</v>
      </c>
      <c r="P769" s="3176">
        <v>8.49</v>
      </c>
    </row>
    <row r="770" spans="1:16" ht="15" thickBot="1">
      <c r="A770" s="3174">
        <v>768</v>
      </c>
      <c r="B770" s="3175" t="s">
        <v>4203</v>
      </c>
      <c r="C770" s="3176">
        <v>113.82</v>
      </c>
      <c r="D770" s="3176">
        <v>35.83</v>
      </c>
      <c r="F770" s="3177">
        <v>768</v>
      </c>
      <c r="G770" s="3175" t="s">
        <v>4156</v>
      </c>
      <c r="H770" s="3178">
        <v>-2047</v>
      </c>
      <c r="I770" s="3179">
        <v>12.91</v>
      </c>
      <c r="J770" s="3179">
        <v>4.0599999999999996</v>
      </c>
      <c r="L770" s="3177">
        <v>768</v>
      </c>
      <c r="M770" s="3175">
        <v>-20017</v>
      </c>
      <c r="N770" s="3175" t="s">
        <v>4187</v>
      </c>
      <c r="O770" s="3176">
        <v>26.98</v>
      </c>
      <c r="P770" s="3176">
        <v>8.49</v>
      </c>
    </row>
    <row r="771" spans="1:16" ht="15" thickBot="1">
      <c r="A771" s="3174">
        <v>769</v>
      </c>
      <c r="B771" s="3175" t="s">
        <v>4204</v>
      </c>
      <c r="C771" s="3176">
        <v>89.85</v>
      </c>
      <c r="D771" s="3176">
        <v>28.29</v>
      </c>
      <c r="F771" s="3177">
        <v>769</v>
      </c>
      <c r="G771" s="3175" t="s">
        <v>4156</v>
      </c>
      <c r="H771" s="3178">
        <v>-2048</v>
      </c>
      <c r="I771" s="3179">
        <v>9.5</v>
      </c>
      <c r="J771" s="3179">
        <v>2.99</v>
      </c>
      <c r="L771" s="3177">
        <v>769</v>
      </c>
      <c r="M771" s="3175">
        <v>-20018</v>
      </c>
      <c r="N771" s="3175" t="s">
        <v>4187</v>
      </c>
      <c r="O771" s="3176">
        <v>26.98</v>
      </c>
      <c r="P771" s="3176">
        <v>8.49</v>
      </c>
    </row>
    <row r="772" spans="1:16" ht="15" thickBot="1">
      <c r="A772" s="3174">
        <v>770</v>
      </c>
      <c r="B772" s="3175" t="s">
        <v>4205</v>
      </c>
      <c r="C772" s="3176">
        <v>89.57</v>
      </c>
      <c r="D772" s="3176">
        <v>28.2</v>
      </c>
      <c r="F772" s="3177">
        <v>770</v>
      </c>
      <c r="G772" s="3175" t="s">
        <v>4156</v>
      </c>
      <c r="H772" s="3178">
        <v>-2049</v>
      </c>
      <c r="I772" s="3179">
        <v>12.63</v>
      </c>
      <c r="J772" s="3179">
        <v>3.98</v>
      </c>
      <c r="L772" s="3177">
        <v>770</v>
      </c>
      <c r="M772" s="3175">
        <v>-20019</v>
      </c>
      <c r="N772" s="3175" t="s">
        <v>4187</v>
      </c>
      <c r="O772" s="3176">
        <v>26.98</v>
      </c>
      <c r="P772" s="3176">
        <v>8.49</v>
      </c>
    </row>
    <row r="773" spans="1:16" ht="15" thickBot="1">
      <c r="A773" s="3174">
        <v>771</v>
      </c>
      <c r="B773" s="3175" t="s">
        <v>4206</v>
      </c>
      <c r="C773" s="3176">
        <v>89.57</v>
      </c>
      <c r="D773" s="3176">
        <v>28.2</v>
      </c>
      <c r="F773" s="3177">
        <v>771</v>
      </c>
      <c r="G773" s="3175" t="s">
        <v>4156</v>
      </c>
      <c r="H773" s="3178">
        <v>-2050</v>
      </c>
      <c r="I773" s="3179">
        <v>9.5</v>
      </c>
      <c r="J773" s="3179">
        <v>2.99</v>
      </c>
      <c r="L773" s="3177">
        <v>771</v>
      </c>
      <c r="M773" s="3175">
        <v>-20020</v>
      </c>
      <c r="N773" s="3175" t="s">
        <v>4187</v>
      </c>
      <c r="O773" s="3176">
        <v>26.98</v>
      </c>
      <c r="P773" s="3176">
        <v>8.49</v>
      </c>
    </row>
    <row r="774" spans="1:16" ht="15" thickBot="1">
      <c r="A774" s="3174">
        <v>772</v>
      </c>
      <c r="B774" s="3175" t="s">
        <v>4207</v>
      </c>
      <c r="C774" s="3176">
        <v>113.82</v>
      </c>
      <c r="D774" s="3176">
        <v>35.83</v>
      </c>
      <c r="F774" s="3177">
        <v>772</v>
      </c>
      <c r="G774" s="3175" t="s">
        <v>4156</v>
      </c>
      <c r="H774" s="3178">
        <v>-2051</v>
      </c>
      <c r="I774" s="3179">
        <v>12.63</v>
      </c>
      <c r="J774" s="3179">
        <v>3.98</v>
      </c>
      <c r="L774" s="3177">
        <v>772</v>
      </c>
      <c r="M774" s="3175">
        <v>-20021</v>
      </c>
      <c r="N774" s="3175" t="s">
        <v>4187</v>
      </c>
      <c r="O774" s="3176">
        <v>26.98</v>
      </c>
      <c r="P774" s="3176">
        <v>8.49</v>
      </c>
    </row>
    <row r="775" spans="1:16" ht="15" thickBot="1">
      <c r="A775" s="3174">
        <v>773</v>
      </c>
      <c r="B775" s="3175" t="s">
        <v>4208</v>
      </c>
      <c r="C775" s="3176">
        <v>89.85</v>
      </c>
      <c r="D775" s="3176">
        <v>28.29</v>
      </c>
      <c r="F775" s="3177">
        <v>773</v>
      </c>
      <c r="G775" s="3175" t="s">
        <v>4156</v>
      </c>
      <c r="H775" s="3178">
        <v>-2052</v>
      </c>
      <c r="I775" s="3179">
        <v>9.4600000000000009</v>
      </c>
      <c r="J775" s="3179">
        <v>2.98</v>
      </c>
      <c r="L775" s="3177">
        <v>773</v>
      </c>
      <c r="M775" s="3175">
        <v>-20022</v>
      </c>
      <c r="N775" s="3175" t="s">
        <v>4187</v>
      </c>
      <c r="O775" s="3176">
        <v>26.98</v>
      </c>
      <c r="P775" s="3176">
        <v>8.49</v>
      </c>
    </row>
    <row r="776" spans="1:16" ht="15" thickBot="1">
      <c r="A776" s="3174">
        <v>774</v>
      </c>
      <c r="B776" s="3175" t="s">
        <v>4209</v>
      </c>
      <c r="C776" s="3176">
        <v>89.57</v>
      </c>
      <c r="D776" s="3176">
        <v>28.2</v>
      </c>
      <c r="F776" s="3177">
        <v>774</v>
      </c>
      <c r="G776" s="3175" t="s">
        <v>4156</v>
      </c>
      <c r="H776" s="3178">
        <v>-2053</v>
      </c>
      <c r="I776" s="3179">
        <v>9.3000000000000007</v>
      </c>
      <c r="J776" s="3179">
        <v>2.93</v>
      </c>
      <c r="L776" s="3177">
        <v>774</v>
      </c>
      <c r="M776" s="3175">
        <v>-20023</v>
      </c>
      <c r="N776" s="3175" t="s">
        <v>4187</v>
      </c>
      <c r="O776" s="3176">
        <v>26.98</v>
      </c>
      <c r="P776" s="3176">
        <v>8.49</v>
      </c>
    </row>
    <row r="777" spans="1:16" ht="15" thickBot="1">
      <c r="A777" s="3174">
        <v>775</v>
      </c>
      <c r="B777" s="3175" t="s">
        <v>4210</v>
      </c>
      <c r="C777" s="3176">
        <v>89.57</v>
      </c>
      <c r="D777" s="3176">
        <v>28.2</v>
      </c>
      <c r="F777" s="3177">
        <v>775</v>
      </c>
      <c r="G777" s="3175" t="s">
        <v>4156</v>
      </c>
      <c r="H777" s="3178">
        <v>-2054</v>
      </c>
      <c r="I777" s="3179">
        <v>12.37</v>
      </c>
      <c r="J777" s="3179">
        <v>3.89</v>
      </c>
      <c r="L777" s="3177">
        <v>775</v>
      </c>
      <c r="M777" s="3175">
        <v>-20024</v>
      </c>
      <c r="N777" s="3175" t="s">
        <v>4187</v>
      </c>
      <c r="O777" s="3176">
        <v>26.98</v>
      </c>
      <c r="P777" s="3176">
        <v>8.49</v>
      </c>
    </row>
    <row r="778" spans="1:16" ht="15" thickBot="1">
      <c r="A778" s="3174">
        <v>776</v>
      </c>
      <c r="B778" s="3175" t="s">
        <v>4211</v>
      </c>
      <c r="C778" s="3176">
        <v>113.82</v>
      </c>
      <c r="D778" s="3176">
        <v>35.83</v>
      </c>
      <c r="F778" s="3177">
        <v>776</v>
      </c>
      <c r="G778" s="3175" t="s">
        <v>4156</v>
      </c>
      <c r="H778" s="3178">
        <v>-2055</v>
      </c>
      <c r="I778" s="3179">
        <v>9.5</v>
      </c>
      <c r="J778" s="3179">
        <v>2.99</v>
      </c>
      <c r="L778" s="3177">
        <v>776</v>
      </c>
      <c r="M778" s="3175">
        <v>-20025</v>
      </c>
      <c r="N778" s="3175" t="s">
        <v>4187</v>
      </c>
      <c r="O778" s="3176">
        <v>26.98</v>
      </c>
      <c r="P778" s="3176">
        <v>8.49</v>
      </c>
    </row>
    <row r="779" spans="1:16" ht="15" thickBot="1">
      <c r="A779" s="3174">
        <v>777</v>
      </c>
      <c r="B779" s="3175" t="s">
        <v>4212</v>
      </c>
      <c r="C779" s="3176">
        <v>89.85</v>
      </c>
      <c r="D779" s="3176">
        <v>28.29</v>
      </c>
      <c r="F779" s="3177">
        <v>777</v>
      </c>
      <c r="G779" s="3175" t="s">
        <v>4156</v>
      </c>
      <c r="H779" s="3178">
        <v>-2056</v>
      </c>
      <c r="I779" s="3179">
        <v>9.65</v>
      </c>
      <c r="J779" s="3179">
        <v>3.04</v>
      </c>
      <c r="L779" s="3177">
        <v>777</v>
      </c>
      <c r="M779" s="3175">
        <v>-20026</v>
      </c>
      <c r="N779" s="3175" t="s">
        <v>4187</v>
      </c>
      <c r="O779" s="3176">
        <v>26.98</v>
      </c>
      <c r="P779" s="3176">
        <v>8.49</v>
      </c>
    </row>
    <row r="780" spans="1:16" ht="15" thickBot="1">
      <c r="A780" s="3174">
        <v>778</v>
      </c>
      <c r="B780" s="3175" t="s">
        <v>4213</v>
      </c>
      <c r="C780" s="3176">
        <v>89.57</v>
      </c>
      <c r="D780" s="3176">
        <v>28.2</v>
      </c>
      <c r="F780" s="3177">
        <v>778</v>
      </c>
      <c r="G780" s="3175" t="s">
        <v>4156</v>
      </c>
      <c r="H780" s="3178">
        <v>-2057</v>
      </c>
      <c r="I780" s="3179">
        <v>9.5</v>
      </c>
      <c r="J780" s="3179">
        <v>2.99</v>
      </c>
      <c r="L780" s="3177">
        <v>778</v>
      </c>
      <c r="M780" s="3175">
        <v>-20027</v>
      </c>
      <c r="N780" s="3175" t="s">
        <v>4187</v>
      </c>
      <c r="O780" s="3176">
        <v>26.98</v>
      </c>
      <c r="P780" s="3176">
        <v>8.49</v>
      </c>
    </row>
    <row r="781" spans="1:16" ht="15" thickBot="1">
      <c r="A781" s="3174">
        <v>779</v>
      </c>
      <c r="B781" s="3175" t="s">
        <v>4214</v>
      </c>
      <c r="C781" s="3176">
        <v>89.57</v>
      </c>
      <c r="D781" s="3176">
        <v>28.2</v>
      </c>
      <c r="F781" s="3177">
        <v>779</v>
      </c>
      <c r="G781" s="3175" t="s">
        <v>4156</v>
      </c>
      <c r="H781" s="3178">
        <v>-2058</v>
      </c>
      <c r="I781" s="3179">
        <v>8.1300000000000008</v>
      </c>
      <c r="J781" s="3179">
        <v>2.56</v>
      </c>
      <c r="L781" s="3177">
        <v>779</v>
      </c>
      <c r="M781" s="3175">
        <v>-20028</v>
      </c>
      <c r="N781" s="3175" t="s">
        <v>4187</v>
      </c>
      <c r="O781" s="3176">
        <v>26.98</v>
      </c>
      <c r="P781" s="3176">
        <v>8.49</v>
      </c>
    </row>
    <row r="782" spans="1:16" ht="15" thickBot="1">
      <c r="A782" s="3174">
        <v>780</v>
      </c>
      <c r="B782" s="3175" t="s">
        <v>4215</v>
      </c>
      <c r="C782" s="3176">
        <v>113.82</v>
      </c>
      <c r="D782" s="3176">
        <v>35.83</v>
      </c>
      <c r="F782" s="3177">
        <v>780</v>
      </c>
      <c r="G782" s="3175" t="s">
        <v>4156</v>
      </c>
      <c r="H782" s="3178">
        <v>-2059</v>
      </c>
      <c r="I782" s="3179">
        <v>7.89</v>
      </c>
      <c r="J782" s="3179">
        <v>2.48</v>
      </c>
      <c r="L782" s="3177">
        <v>780</v>
      </c>
      <c r="M782" s="3175">
        <v>-20029</v>
      </c>
      <c r="N782" s="3175" t="s">
        <v>4187</v>
      </c>
      <c r="O782" s="3176">
        <v>26.98</v>
      </c>
      <c r="P782" s="3176">
        <v>8.49</v>
      </c>
    </row>
    <row r="783" spans="1:16" ht="15" thickBot="1">
      <c r="A783" s="3174">
        <v>781</v>
      </c>
      <c r="B783" s="3175" t="s">
        <v>4216</v>
      </c>
      <c r="C783" s="3176">
        <v>89.85</v>
      </c>
      <c r="D783" s="3176">
        <v>28.29</v>
      </c>
      <c r="F783" s="3177">
        <v>781</v>
      </c>
      <c r="G783" s="3175" t="s">
        <v>4156</v>
      </c>
      <c r="H783" s="3178">
        <v>-2060</v>
      </c>
      <c r="I783" s="3179">
        <v>7.89</v>
      </c>
      <c r="J783" s="3179">
        <v>2.48</v>
      </c>
      <c r="L783" s="3177">
        <v>781</v>
      </c>
      <c r="M783" s="3175">
        <v>-20030</v>
      </c>
      <c r="N783" s="3175" t="s">
        <v>4187</v>
      </c>
      <c r="O783" s="3176">
        <v>26.98</v>
      </c>
      <c r="P783" s="3176">
        <v>8.49</v>
      </c>
    </row>
    <row r="784" spans="1:16" ht="15" thickBot="1">
      <c r="A784" s="3174">
        <v>782</v>
      </c>
      <c r="B784" s="3175" t="s">
        <v>4217</v>
      </c>
      <c r="C784" s="3176">
        <v>89.57</v>
      </c>
      <c r="D784" s="3176">
        <v>28.2</v>
      </c>
      <c r="F784" s="3177">
        <v>782</v>
      </c>
      <c r="G784" s="3175" t="s">
        <v>4156</v>
      </c>
      <c r="H784" s="3178">
        <v>-2061</v>
      </c>
      <c r="I784" s="3179">
        <v>8.39</v>
      </c>
      <c r="J784" s="3179">
        <v>2.64</v>
      </c>
      <c r="L784" s="3177">
        <v>782</v>
      </c>
      <c r="M784" s="3175">
        <v>-20031</v>
      </c>
      <c r="N784" s="3175" t="s">
        <v>4187</v>
      </c>
      <c r="O784" s="3176">
        <v>26.98</v>
      </c>
      <c r="P784" s="3176">
        <v>8.49</v>
      </c>
    </row>
    <row r="785" spans="1:16" ht="15" thickBot="1">
      <c r="A785" s="3174">
        <v>783</v>
      </c>
      <c r="B785" s="3175" t="s">
        <v>4218</v>
      </c>
      <c r="C785" s="3176">
        <v>89.57</v>
      </c>
      <c r="D785" s="3176">
        <v>28.2</v>
      </c>
      <c r="F785" s="3177">
        <v>783</v>
      </c>
      <c r="G785" s="3175" t="s">
        <v>4156</v>
      </c>
      <c r="H785" s="3178">
        <v>-2062</v>
      </c>
      <c r="I785" s="3179">
        <v>8.39</v>
      </c>
      <c r="J785" s="3179">
        <v>2.64</v>
      </c>
      <c r="L785" s="3177">
        <v>783</v>
      </c>
      <c r="M785" s="3175">
        <v>-20032</v>
      </c>
      <c r="N785" s="3175" t="s">
        <v>4187</v>
      </c>
      <c r="O785" s="3176">
        <v>26.98</v>
      </c>
      <c r="P785" s="3176">
        <v>8.49</v>
      </c>
    </row>
    <row r="786" spans="1:16" ht="15" thickBot="1">
      <c r="A786" s="3174">
        <v>784</v>
      </c>
      <c r="B786" s="3175" t="s">
        <v>4219</v>
      </c>
      <c r="C786" s="3176">
        <v>113.82</v>
      </c>
      <c r="D786" s="3176">
        <v>35.83</v>
      </c>
      <c r="F786" s="3177">
        <v>784</v>
      </c>
      <c r="G786" s="3175" t="s">
        <v>4156</v>
      </c>
      <c r="H786" s="3178">
        <v>-2063</v>
      </c>
      <c r="I786" s="3179">
        <v>7.89</v>
      </c>
      <c r="J786" s="3179">
        <v>2.48</v>
      </c>
      <c r="L786" s="3177">
        <v>784</v>
      </c>
      <c r="M786" s="3175">
        <v>-20033</v>
      </c>
      <c r="N786" s="3175" t="s">
        <v>4187</v>
      </c>
      <c r="O786" s="3176">
        <v>26.98</v>
      </c>
      <c r="P786" s="3176">
        <v>8.49</v>
      </c>
    </row>
    <row r="787" spans="1:16" ht="15" thickBot="1">
      <c r="A787" s="3174">
        <v>785</v>
      </c>
      <c r="B787" s="3175" t="s">
        <v>4220</v>
      </c>
      <c r="C787" s="3176">
        <v>89.85</v>
      </c>
      <c r="D787" s="3176">
        <v>28.29</v>
      </c>
      <c r="F787" s="3177">
        <v>785</v>
      </c>
      <c r="G787" s="3175" t="s">
        <v>4156</v>
      </c>
      <c r="H787" s="3178">
        <v>-2064</v>
      </c>
      <c r="I787" s="3179">
        <v>7.89</v>
      </c>
      <c r="J787" s="3179">
        <v>2.48</v>
      </c>
      <c r="L787" s="3177">
        <v>785</v>
      </c>
      <c r="M787" s="3175">
        <v>-20034</v>
      </c>
      <c r="N787" s="3175" t="s">
        <v>4187</v>
      </c>
      <c r="O787" s="3176">
        <v>26.98</v>
      </c>
      <c r="P787" s="3176">
        <v>8.49</v>
      </c>
    </row>
    <row r="788" spans="1:16" ht="15" thickBot="1">
      <c r="A788" s="3174">
        <v>786</v>
      </c>
      <c r="B788" s="3175" t="s">
        <v>4221</v>
      </c>
      <c r="C788" s="3176">
        <v>89.57</v>
      </c>
      <c r="D788" s="3176">
        <v>28.2</v>
      </c>
      <c r="F788" s="3177">
        <v>786</v>
      </c>
      <c r="G788" s="3175" t="s">
        <v>4156</v>
      </c>
      <c r="H788" s="3178">
        <v>-2065</v>
      </c>
      <c r="I788" s="3179">
        <v>8.1300000000000008</v>
      </c>
      <c r="J788" s="3179">
        <v>2.56</v>
      </c>
      <c r="L788" s="3177">
        <v>786</v>
      </c>
      <c r="M788" s="3175">
        <v>-20035</v>
      </c>
      <c r="N788" s="3175" t="s">
        <v>4187</v>
      </c>
      <c r="O788" s="3176">
        <v>26.98</v>
      </c>
      <c r="P788" s="3176">
        <v>8.49</v>
      </c>
    </row>
    <row r="789" spans="1:16" ht="15" thickBot="1">
      <c r="A789" s="3174">
        <v>787</v>
      </c>
      <c r="B789" s="3175" t="s">
        <v>4222</v>
      </c>
      <c r="C789" s="3176">
        <v>89.57</v>
      </c>
      <c r="D789" s="3176">
        <v>28.2</v>
      </c>
      <c r="F789" s="3177">
        <v>787</v>
      </c>
      <c r="G789" s="3175" t="s">
        <v>4156</v>
      </c>
      <c r="H789" s="3178">
        <v>-2066</v>
      </c>
      <c r="I789" s="3179">
        <v>9.5</v>
      </c>
      <c r="J789" s="3179">
        <v>2.99</v>
      </c>
      <c r="L789" s="3177">
        <v>787</v>
      </c>
      <c r="M789" s="3175">
        <v>-10001</v>
      </c>
      <c r="N789" s="3175" t="s">
        <v>4187</v>
      </c>
      <c r="O789" s="3176">
        <v>26.98</v>
      </c>
      <c r="P789" s="3176">
        <v>8.49</v>
      </c>
    </row>
    <row r="790" spans="1:16" ht="15" thickBot="1">
      <c r="A790" s="3174">
        <v>788</v>
      </c>
      <c r="B790" s="3175" t="s">
        <v>4223</v>
      </c>
      <c r="C790" s="3176">
        <v>113.82</v>
      </c>
      <c r="D790" s="3176">
        <v>35.83</v>
      </c>
      <c r="F790" s="3177">
        <v>788</v>
      </c>
      <c r="G790" s="3175" t="s">
        <v>4156</v>
      </c>
      <c r="H790" s="3178">
        <v>-2067</v>
      </c>
      <c r="I790" s="3179">
        <v>9.65</v>
      </c>
      <c r="J790" s="3179">
        <v>3.04</v>
      </c>
      <c r="L790" s="3177">
        <v>788</v>
      </c>
      <c r="M790" s="3175">
        <v>-10002</v>
      </c>
      <c r="N790" s="3175" t="s">
        <v>4187</v>
      </c>
      <c r="O790" s="3176">
        <v>26.98</v>
      </c>
      <c r="P790" s="3176">
        <v>8.49</v>
      </c>
    </row>
    <row r="791" spans="1:16" ht="15" thickBot="1">
      <c r="A791" s="3174">
        <v>789</v>
      </c>
      <c r="B791" s="3175" t="s">
        <v>4224</v>
      </c>
      <c r="C791" s="3176">
        <v>89.85</v>
      </c>
      <c r="D791" s="3176">
        <v>28.29</v>
      </c>
      <c r="F791" s="3177">
        <v>789</v>
      </c>
      <c r="G791" s="3175" t="s">
        <v>4156</v>
      </c>
      <c r="H791" s="3178">
        <v>-2068</v>
      </c>
      <c r="I791" s="3179">
        <v>9.5</v>
      </c>
      <c r="J791" s="3179">
        <v>2.99</v>
      </c>
      <c r="L791" s="3177">
        <v>789</v>
      </c>
      <c r="M791" s="3175">
        <v>-10003</v>
      </c>
      <c r="N791" s="3175" t="s">
        <v>4187</v>
      </c>
      <c r="O791" s="3176">
        <v>26.98</v>
      </c>
      <c r="P791" s="3176">
        <v>8.49</v>
      </c>
    </row>
    <row r="792" spans="1:16" ht="15" thickBot="1">
      <c r="A792" s="3174">
        <v>790</v>
      </c>
      <c r="B792" s="3175" t="s">
        <v>4225</v>
      </c>
      <c r="C792" s="3176">
        <v>89.57</v>
      </c>
      <c r="D792" s="3176">
        <v>28.2</v>
      </c>
      <c r="F792" s="3177">
        <v>790</v>
      </c>
      <c r="G792" s="3175" t="s">
        <v>4156</v>
      </c>
      <c r="H792" s="3178">
        <v>-2069</v>
      </c>
      <c r="I792" s="3179">
        <v>10.61</v>
      </c>
      <c r="J792" s="3179">
        <v>3.34</v>
      </c>
      <c r="L792" s="3177">
        <v>790</v>
      </c>
      <c r="M792" s="3175">
        <v>-10004</v>
      </c>
      <c r="N792" s="3175" t="s">
        <v>4187</v>
      </c>
      <c r="O792" s="3176">
        <v>26.98</v>
      </c>
      <c r="P792" s="3176">
        <v>8.49</v>
      </c>
    </row>
    <row r="793" spans="1:16" ht="15" thickBot="1">
      <c r="A793" s="3174">
        <v>791</v>
      </c>
      <c r="B793" s="3175" t="s">
        <v>4226</v>
      </c>
      <c r="C793" s="3176">
        <v>89.57</v>
      </c>
      <c r="D793" s="3176">
        <v>28.2</v>
      </c>
      <c r="F793" s="3177">
        <v>791</v>
      </c>
      <c r="G793" s="3175" t="s">
        <v>4156</v>
      </c>
      <c r="H793" s="3178">
        <v>-2070</v>
      </c>
      <c r="I793" s="3179">
        <v>9.02</v>
      </c>
      <c r="J793" s="3179">
        <v>2.84</v>
      </c>
      <c r="L793" s="3177">
        <v>791</v>
      </c>
      <c r="M793" s="3175">
        <v>-10005</v>
      </c>
      <c r="N793" s="3175" t="s">
        <v>4187</v>
      </c>
      <c r="O793" s="3176">
        <v>26.98</v>
      </c>
      <c r="P793" s="3176">
        <v>8.49</v>
      </c>
    </row>
    <row r="794" spans="1:16" ht="15" thickBot="1">
      <c r="A794" s="3174">
        <v>792</v>
      </c>
      <c r="B794" s="3175" t="s">
        <v>4227</v>
      </c>
      <c r="C794" s="3176">
        <v>113.82</v>
      </c>
      <c r="D794" s="3176">
        <v>35.83</v>
      </c>
      <c r="F794" s="3177">
        <v>792</v>
      </c>
      <c r="G794" s="3175" t="s">
        <v>4156</v>
      </c>
      <c r="H794" s="3178">
        <v>-2071</v>
      </c>
      <c r="I794" s="3179">
        <v>8.5</v>
      </c>
      <c r="J794" s="3179">
        <v>2.68</v>
      </c>
      <c r="L794" s="3177">
        <v>792</v>
      </c>
      <c r="M794" s="3175">
        <v>-10006</v>
      </c>
      <c r="N794" s="3175" t="s">
        <v>4187</v>
      </c>
      <c r="O794" s="3176">
        <v>26.98</v>
      </c>
      <c r="P794" s="3176">
        <v>8.49</v>
      </c>
    </row>
    <row r="795" spans="1:16" ht="15" thickBot="1">
      <c r="A795" s="3174">
        <v>793</v>
      </c>
      <c r="B795" s="3175" t="s">
        <v>4228</v>
      </c>
      <c r="C795" s="3176">
        <v>89.57</v>
      </c>
      <c r="D795" s="3176">
        <v>28.2</v>
      </c>
      <c r="F795" s="3177">
        <v>793</v>
      </c>
      <c r="G795" s="3175" t="s">
        <v>4156</v>
      </c>
      <c r="H795" s="3178">
        <v>-2072</v>
      </c>
      <c r="I795" s="3179">
        <v>8.91</v>
      </c>
      <c r="J795" s="3179">
        <v>2.81</v>
      </c>
      <c r="L795" s="3177">
        <v>793</v>
      </c>
      <c r="M795" s="3175">
        <v>-10007</v>
      </c>
      <c r="N795" s="3175" t="s">
        <v>4187</v>
      </c>
      <c r="O795" s="3176">
        <v>26.98</v>
      </c>
      <c r="P795" s="3176">
        <v>8.49</v>
      </c>
    </row>
    <row r="796" spans="1:16" ht="15" thickBot="1">
      <c r="A796" s="3174">
        <v>794</v>
      </c>
      <c r="B796" s="3175" t="s">
        <v>4229</v>
      </c>
      <c r="C796" s="3176">
        <v>89.29</v>
      </c>
      <c r="D796" s="3176">
        <v>28.11</v>
      </c>
      <c r="F796" s="3177">
        <v>794</v>
      </c>
      <c r="G796" s="3175" t="s">
        <v>4156</v>
      </c>
      <c r="H796" s="3178">
        <v>-2073</v>
      </c>
      <c r="I796" s="3179">
        <v>6.81</v>
      </c>
      <c r="J796" s="3179">
        <v>2.14</v>
      </c>
      <c r="L796" s="3177">
        <v>794</v>
      </c>
      <c r="M796" s="3175">
        <v>-10008</v>
      </c>
      <c r="N796" s="3175" t="s">
        <v>4187</v>
      </c>
      <c r="O796" s="3176">
        <v>26.98</v>
      </c>
      <c r="P796" s="3176">
        <v>8.49</v>
      </c>
    </row>
    <row r="797" spans="1:16" ht="15" thickBot="1">
      <c r="A797" s="3174">
        <v>795</v>
      </c>
      <c r="B797" s="3175" t="s">
        <v>4230</v>
      </c>
      <c r="C797" s="3176">
        <v>89.29</v>
      </c>
      <c r="D797" s="3176">
        <v>28.11</v>
      </c>
      <c r="F797" s="3177">
        <v>795</v>
      </c>
      <c r="G797" s="3175" t="s">
        <v>4156</v>
      </c>
      <c r="H797" s="3178">
        <v>-2074</v>
      </c>
      <c r="I797" s="3179">
        <v>7.67</v>
      </c>
      <c r="J797" s="3179">
        <v>2.41</v>
      </c>
      <c r="L797" s="3177">
        <v>795</v>
      </c>
      <c r="M797" s="3175">
        <v>-10009</v>
      </c>
      <c r="N797" s="3175" t="s">
        <v>4187</v>
      </c>
      <c r="O797" s="3176">
        <v>26.98</v>
      </c>
      <c r="P797" s="3176">
        <v>8.49</v>
      </c>
    </row>
    <row r="798" spans="1:16" ht="15" thickBot="1">
      <c r="A798" s="3174">
        <v>796</v>
      </c>
      <c r="B798" s="3175" t="s">
        <v>4231</v>
      </c>
      <c r="C798" s="3176">
        <v>113.46</v>
      </c>
      <c r="D798" s="3176">
        <v>35.72</v>
      </c>
      <c r="F798" s="3177">
        <v>796</v>
      </c>
      <c r="G798" s="3175" t="s">
        <v>4156</v>
      </c>
      <c r="H798" s="3178">
        <v>-2075</v>
      </c>
      <c r="I798" s="3179">
        <v>6.87</v>
      </c>
      <c r="J798" s="3179">
        <v>2.16</v>
      </c>
      <c r="L798" s="3177">
        <v>796</v>
      </c>
      <c r="M798" s="3175">
        <v>-10010</v>
      </c>
      <c r="N798" s="3175" t="s">
        <v>4187</v>
      </c>
      <c r="O798" s="3176">
        <v>26.98</v>
      </c>
      <c r="P798" s="3176">
        <v>8.49</v>
      </c>
    </row>
    <row r="799" spans="1:16" ht="15" thickBot="1">
      <c r="A799" s="3174">
        <v>797</v>
      </c>
      <c r="B799" s="3175" t="s">
        <v>4232</v>
      </c>
      <c r="C799" s="3176">
        <v>89.57</v>
      </c>
      <c r="D799" s="3176">
        <v>28.2</v>
      </c>
      <c r="F799" s="3177">
        <v>797</v>
      </c>
      <c r="G799" s="3175" t="s">
        <v>4156</v>
      </c>
      <c r="H799" s="3178">
        <v>-2076</v>
      </c>
      <c r="I799" s="3179">
        <v>12.67</v>
      </c>
      <c r="J799" s="3179">
        <v>3.99</v>
      </c>
      <c r="L799" s="3177">
        <v>797</v>
      </c>
      <c r="M799" s="3175">
        <v>-10011</v>
      </c>
      <c r="N799" s="3175" t="s">
        <v>4187</v>
      </c>
      <c r="O799" s="3176">
        <v>26.98</v>
      </c>
      <c r="P799" s="3176">
        <v>8.49</v>
      </c>
    </row>
    <row r="800" spans="1:16" ht="15" thickBot="1">
      <c r="A800" s="3174">
        <v>798</v>
      </c>
      <c r="B800" s="3175" t="s">
        <v>4233</v>
      </c>
      <c r="C800" s="3176">
        <v>89.29</v>
      </c>
      <c r="D800" s="3176">
        <v>28.11</v>
      </c>
      <c r="F800" s="3177">
        <v>798</v>
      </c>
      <c r="G800" s="3175" t="s">
        <v>4156</v>
      </c>
      <c r="H800" s="3178">
        <v>-1001</v>
      </c>
      <c r="I800" s="3179">
        <v>9.98</v>
      </c>
      <c r="J800" s="3179">
        <v>3.14</v>
      </c>
      <c r="L800" s="3177">
        <v>798</v>
      </c>
      <c r="M800" s="3175">
        <v>-10012</v>
      </c>
      <c r="N800" s="3175" t="s">
        <v>4187</v>
      </c>
      <c r="O800" s="3176">
        <v>26.98</v>
      </c>
      <c r="P800" s="3176">
        <v>8.49</v>
      </c>
    </row>
    <row r="801" spans="1:16" ht="15" thickBot="1">
      <c r="A801" s="3174">
        <v>799</v>
      </c>
      <c r="B801" s="3175" t="s">
        <v>4234</v>
      </c>
      <c r="C801" s="3176">
        <v>89.29</v>
      </c>
      <c r="D801" s="3176">
        <v>28.11</v>
      </c>
      <c r="F801" s="3177">
        <v>799</v>
      </c>
      <c r="G801" s="3175" t="s">
        <v>4156</v>
      </c>
      <c r="H801" s="3178">
        <v>-1002</v>
      </c>
      <c r="I801" s="3179">
        <v>14.29</v>
      </c>
      <c r="J801" s="3179">
        <v>4.5</v>
      </c>
      <c r="L801" s="3177">
        <v>799</v>
      </c>
      <c r="M801" s="3175">
        <v>-10013</v>
      </c>
      <c r="N801" s="3175" t="s">
        <v>4187</v>
      </c>
      <c r="O801" s="3176">
        <v>26.98</v>
      </c>
      <c r="P801" s="3176">
        <v>8.49</v>
      </c>
    </row>
    <row r="802" spans="1:16" ht="15" thickBot="1">
      <c r="A802" s="3174">
        <v>800</v>
      </c>
      <c r="B802" s="3175" t="s">
        <v>4235</v>
      </c>
      <c r="C802" s="3176">
        <v>113.46</v>
      </c>
      <c r="D802" s="3176">
        <v>35.72</v>
      </c>
      <c r="F802" s="3177">
        <v>800</v>
      </c>
      <c r="G802" s="3175" t="s">
        <v>4156</v>
      </c>
      <c r="H802" s="3178">
        <v>-1003</v>
      </c>
      <c r="I802" s="3179">
        <v>11.11</v>
      </c>
      <c r="J802" s="3179">
        <v>3.5</v>
      </c>
      <c r="L802" s="3177">
        <v>800</v>
      </c>
      <c r="M802" s="3175">
        <v>-10014</v>
      </c>
      <c r="N802" s="3175" t="s">
        <v>4187</v>
      </c>
      <c r="O802" s="3176">
        <v>26.98</v>
      </c>
      <c r="P802" s="3176">
        <v>8.49</v>
      </c>
    </row>
    <row r="803" spans="1:16" ht="15" thickBot="1">
      <c r="A803" s="3174">
        <v>801</v>
      </c>
      <c r="B803" s="3175" t="s">
        <v>4236</v>
      </c>
      <c r="C803" s="3176">
        <v>89.57</v>
      </c>
      <c r="D803" s="3176">
        <v>28.2</v>
      </c>
      <c r="F803" s="3177">
        <v>801</v>
      </c>
      <c r="G803" s="3175" t="s">
        <v>4156</v>
      </c>
      <c r="H803" s="3178">
        <v>-1004</v>
      </c>
      <c r="I803" s="3179">
        <v>10.76</v>
      </c>
      <c r="J803" s="3179">
        <v>3.39</v>
      </c>
      <c r="L803" s="3177">
        <v>801</v>
      </c>
      <c r="M803" s="3175">
        <v>-10015</v>
      </c>
      <c r="N803" s="3175" t="s">
        <v>4187</v>
      </c>
      <c r="O803" s="3176">
        <v>26.98</v>
      </c>
      <c r="P803" s="3176">
        <v>8.49</v>
      </c>
    </row>
    <row r="804" spans="1:16" ht="15" thickBot="1">
      <c r="A804" s="3174">
        <v>802</v>
      </c>
      <c r="B804" s="3175" t="s">
        <v>4237</v>
      </c>
      <c r="C804" s="3176">
        <v>89.29</v>
      </c>
      <c r="D804" s="3176">
        <v>28.11</v>
      </c>
      <c r="F804" s="3177">
        <v>802</v>
      </c>
      <c r="G804" s="3175" t="s">
        <v>4156</v>
      </c>
      <c r="H804" s="3178">
        <v>-1005</v>
      </c>
      <c r="I804" s="3179">
        <v>11.39</v>
      </c>
      <c r="J804" s="3179">
        <v>3.59</v>
      </c>
      <c r="L804" s="3177">
        <v>802</v>
      </c>
      <c r="M804" s="3175">
        <v>-10016</v>
      </c>
      <c r="N804" s="3175" t="s">
        <v>4187</v>
      </c>
      <c r="O804" s="3176">
        <v>26.98</v>
      </c>
      <c r="P804" s="3176">
        <v>8.49</v>
      </c>
    </row>
    <row r="805" spans="1:16" ht="15" thickBot="1">
      <c r="A805" s="3174">
        <v>803</v>
      </c>
      <c r="B805" s="3175" t="s">
        <v>4238</v>
      </c>
      <c r="C805" s="3176">
        <v>89.29</v>
      </c>
      <c r="D805" s="3176">
        <v>28.11</v>
      </c>
      <c r="F805" s="3177">
        <v>803</v>
      </c>
      <c r="G805" s="3175" t="s">
        <v>4156</v>
      </c>
      <c r="H805" s="3178">
        <v>-1006</v>
      </c>
      <c r="I805" s="3179">
        <v>11.39</v>
      </c>
      <c r="J805" s="3179">
        <v>3.59</v>
      </c>
      <c r="L805" s="3177">
        <v>803</v>
      </c>
      <c r="M805" s="3175">
        <v>-10017</v>
      </c>
      <c r="N805" s="3175" t="s">
        <v>4187</v>
      </c>
      <c r="O805" s="3176">
        <v>26.98</v>
      </c>
      <c r="P805" s="3176">
        <v>8.49</v>
      </c>
    </row>
    <row r="806" spans="1:16" ht="15" thickBot="1">
      <c r="A806" s="3174">
        <v>804</v>
      </c>
      <c r="B806" s="3175" t="s">
        <v>4239</v>
      </c>
      <c r="C806" s="3176">
        <v>113.46</v>
      </c>
      <c r="D806" s="3176">
        <v>35.72</v>
      </c>
      <c r="F806" s="3177">
        <v>804</v>
      </c>
      <c r="G806" s="3175" t="s">
        <v>4156</v>
      </c>
      <c r="H806" s="3178">
        <v>-1007</v>
      </c>
      <c r="I806" s="3179">
        <v>8.85</v>
      </c>
      <c r="J806" s="3179">
        <v>2.79</v>
      </c>
      <c r="L806" s="3177">
        <v>804</v>
      </c>
      <c r="M806" s="3175">
        <v>-10018</v>
      </c>
      <c r="N806" s="3175" t="s">
        <v>4187</v>
      </c>
      <c r="O806" s="3176">
        <v>26.98</v>
      </c>
      <c r="P806" s="3176">
        <v>8.49</v>
      </c>
    </row>
    <row r="807" spans="1:16" ht="15" thickBot="1">
      <c r="A807" s="3174">
        <v>805</v>
      </c>
      <c r="B807" s="3175" t="s">
        <v>4240</v>
      </c>
      <c r="C807" s="3176">
        <v>89.57</v>
      </c>
      <c r="D807" s="3176">
        <v>28.2</v>
      </c>
      <c r="F807" s="3177">
        <v>805</v>
      </c>
      <c r="G807" s="3175" t="s">
        <v>4156</v>
      </c>
      <c r="H807" s="3178">
        <v>-1008</v>
      </c>
      <c r="I807" s="3179">
        <v>8.74</v>
      </c>
      <c r="J807" s="3179">
        <v>2.75</v>
      </c>
      <c r="L807" s="3177">
        <v>805</v>
      </c>
      <c r="M807" s="3175">
        <v>-10019</v>
      </c>
      <c r="N807" s="3175" t="s">
        <v>4187</v>
      </c>
      <c r="O807" s="3176">
        <v>26.98</v>
      </c>
      <c r="P807" s="3176">
        <v>8.49</v>
      </c>
    </row>
    <row r="808" spans="1:16" ht="15" thickBot="1">
      <c r="A808" s="3174">
        <v>806</v>
      </c>
      <c r="B808" s="3175" t="s">
        <v>4241</v>
      </c>
      <c r="C808" s="3176">
        <v>89.29</v>
      </c>
      <c r="D808" s="3176">
        <v>28.11</v>
      </c>
      <c r="F808" s="3177">
        <v>806</v>
      </c>
      <c r="G808" s="3175" t="s">
        <v>4156</v>
      </c>
      <c r="H808" s="3178">
        <v>-1009</v>
      </c>
      <c r="I808" s="3179">
        <v>11.39</v>
      </c>
      <c r="J808" s="3179">
        <v>3.59</v>
      </c>
      <c r="L808" s="3177">
        <v>806</v>
      </c>
      <c r="M808" s="3175">
        <v>-10020</v>
      </c>
      <c r="N808" s="3175" t="s">
        <v>4187</v>
      </c>
      <c r="O808" s="3176">
        <v>26.98</v>
      </c>
      <c r="P808" s="3176">
        <v>8.49</v>
      </c>
    </row>
    <row r="809" spans="1:16" ht="15" thickBot="1">
      <c r="A809" s="3174">
        <v>807</v>
      </c>
      <c r="B809" s="3175" t="s">
        <v>4242</v>
      </c>
      <c r="C809" s="3176">
        <v>89.29</v>
      </c>
      <c r="D809" s="3176">
        <v>28.11</v>
      </c>
      <c r="F809" s="3177">
        <v>807</v>
      </c>
      <c r="G809" s="3175" t="s">
        <v>4156</v>
      </c>
      <c r="H809" s="3178">
        <v>-1010</v>
      </c>
      <c r="I809" s="3179">
        <v>11.39</v>
      </c>
      <c r="J809" s="3179">
        <v>3.59</v>
      </c>
      <c r="L809" s="3177">
        <v>807</v>
      </c>
      <c r="M809" s="3175">
        <v>-10021</v>
      </c>
      <c r="N809" s="3175" t="s">
        <v>4187</v>
      </c>
      <c r="O809" s="3176">
        <v>26.98</v>
      </c>
      <c r="P809" s="3176">
        <v>8.49</v>
      </c>
    </row>
    <row r="810" spans="1:16" ht="15" thickBot="1">
      <c r="A810" s="3174">
        <v>808</v>
      </c>
      <c r="B810" s="3175" t="s">
        <v>4243</v>
      </c>
      <c r="C810" s="3176">
        <v>113.46</v>
      </c>
      <c r="D810" s="3176">
        <v>35.72</v>
      </c>
      <c r="F810" s="3177">
        <v>808</v>
      </c>
      <c r="G810" s="3175" t="s">
        <v>4156</v>
      </c>
      <c r="H810" s="3178">
        <v>-1011</v>
      </c>
      <c r="I810" s="3179">
        <v>10.48</v>
      </c>
      <c r="J810" s="3179">
        <v>3.3</v>
      </c>
      <c r="L810" s="3177">
        <v>808</v>
      </c>
      <c r="M810" s="3175">
        <v>-10022</v>
      </c>
      <c r="N810" s="3175" t="s">
        <v>4187</v>
      </c>
      <c r="O810" s="3176">
        <v>26.98</v>
      </c>
      <c r="P810" s="3176">
        <v>8.49</v>
      </c>
    </row>
    <row r="811" spans="1:16" ht="15" thickBot="1">
      <c r="A811" s="3174">
        <v>809</v>
      </c>
      <c r="B811" s="3175" t="s">
        <v>4244</v>
      </c>
      <c r="C811" s="3176">
        <v>89.57</v>
      </c>
      <c r="D811" s="3176">
        <v>28.2</v>
      </c>
      <c r="F811" s="3177">
        <v>809</v>
      </c>
      <c r="G811" s="3175" t="s">
        <v>4156</v>
      </c>
      <c r="H811" s="3178">
        <v>-1012</v>
      </c>
      <c r="I811" s="3179">
        <v>9.24</v>
      </c>
      <c r="J811" s="3179">
        <v>2.91</v>
      </c>
      <c r="L811" s="3177">
        <v>809</v>
      </c>
      <c r="M811" s="3175">
        <v>-10023</v>
      </c>
      <c r="N811" s="3175" t="s">
        <v>4187</v>
      </c>
      <c r="O811" s="3176">
        <v>26.98</v>
      </c>
      <c r="P811" s="3176">
        <v>8.49</v>
      </c>
    </row>
    <row r="812" spans="1:16" ht="15" thickBot="1">
      <c r="A812" s="3174">
        <v>810</v>
      </c>
      <c r="B812" s="3175" t="s">
        <v>4245</v>
      </c>
      <c r="C812" s="3176">
        <v>89.29</v>
      </c>
      <c r="D812" s="3176">
        <v>28.11</v>
      </c>
      <c r="F812" s="3177">
        <v>810</v>
      </c>
      <c r="G812" s="3175" t="s">
        <v>4156</v>
      </c>
      <c r="H812" s="3178">
        <v>-1013</v>
      </c>
      <c r="I812" s="3179">
        <v>8.1300000000000008</v>
      </c>
      <c r="J812" s="3179">
        <v>2.56</v>
      </c>
      <c r="L812" s="3177">
        <v>810</v>
      </c>
      <c r="M812" s="3175">
        <v>-10024</v>
      </c>
      <c r="N812" s="3175" t="s">
        <v>4187</v>
      </c>
      <c r="O812" s="3176">
        <v>26.98</v>
      </c>
      <c r="P812" s="3176">
        <v>8.49</v>
      </c>
    </row>
    <row r="813" spans="1:16" ht="15" thickBot="1">
      <c r="A813" s="3174">
        <v>811</v>
      </c>
      <c r="B813" s="3175" t="s">
        <v>4246</v>
      </c>
      <c r="C813" s="3176">
        <v>89.29</v>
      </c>
      <c r="D813" s="3176">
        <v>28.11</v>
      </c>
      <c r="F813" s="3177">
        <v>811</v>
      </c>
      <c r="G813" s="3175" t="s">
        <v>4156</v>
      </c>
      <c r="H813" s="3178">
        <v>-1014</v>
      </c>
      <c r="I813" s="3179">
        <v>7.31</v>
      </c>
      <c r="J813" s="3179">
        <v>2.2999999999999998</v>
      </c>
      <c r="L813" s="3177">
        <v>811</v>
      </c>
      <c r="M813" s="3175">
        <v>-10025</v>
      </c>
      <c r="N813" s="3175" t="s">
        <v>4187</v>
      </c>
      <c r="O813" s="3176">
        <v>26.98</v>
      </c>
      <c r="P813" s="3176">
        <v>8.49</v>
      </c>
    </row>
    <row r="814" spans="1:16" ht="15" thickBot="1">
      <c r="A814" s="3174">
        <v>812</v>
      </c>
      <c r="B814" s="3175" t="s">
        <v>4247</v>
      </c>
      <c r="C814" s="3176">
        <v>113.46</v>
      </c>
      <c r="D814" s="3176">
        <v>35.72</v>
      </c>
      <c r="F814" s="3177">
        <v>812</v>
      </c>
      <c r="G814" s="3175" t="s">
        <v>4156</v>
      </c>
      <c r="H814" s="3178">
        <v>-1015</v>
      </c>
      <c r="I814" s="3179">
        <v>11.98</v>
      </c>
      <c r="J814" s="3179">
        <v>3.77</v>
      </c>
      <c r="L814" s="3177">
        <v>812</v>
      </c>
      <c r="M814" s="3175">
        <v>-10026</v>
      </c>
      <c r="N814" s="3175" t="s">
        <v>4187</v>
      </c>
      <c r="O814" s="3176">
        <v>26.98</v>
      </c>
      <c r="P814" s="3176">
        <v>8.49</v>
      </c>
    </row>
    <row r="815" spans="1:16" ht="15" thickBot="1">
      <c r="A815" s="3174">
        <v>813</v>
      </c>
      <c r="B815" s="3175" t="s">
        <v>4248</v>
      </c>
      <c r="C815" s="3176">
        <v>89.57</v>
      </c>
      <c r="D815" s="3176">
        <v>28.2</v>
      </c>
      <c r="F815" s="3177">
        <v>813</v>
      </c>
      <c r="G815" s="3175" t="s">
        <v>4156</v>
      </c>
      <c r="H815" s="3178">
        <v>-1016</v>
      </c>
      <c r="I815" s="3179">
        <v>16.239999999999998</v>
      </c>
      <c r="J815" s="3179">
        <v>5.1100000000000003</v>
      </c>
      <c r="L815" s="3177">
        <v>813</v>
      </c>
      <c r="M815" s="3175">
        <v>-10027</v>
      </c>
      <c r="N815" s="3175" t="s">
        <v>4187</v>
      </c>
      <c r="O815" s="3176">
        <v>26.98</v>
      </c>
      <c r="P815" s="3176">
        <v>8.49</v>
      </c>
    </row>
    <row r="816" spans="1:16" ht="15" thickBot="1">
      <c r="A816" s="3174">
        <v>814</v>
      </c>
      <c r="B816" s="3175" t="s">
        <v>4249</v>
      </c>
      <c r="C816" s="3176">
        <v>89.29</v>
      </c>
      <c r="D816" s="3176">
        <v>28.11</v>
      </c>
      <c r="F816" s="3177">
        <v>814</v>
      </c>
      <c r="G816" s="3175" t="s">
        <v>4156</v>
      </c>
      <c r="H816" s="3178">
        <v>-1017</v>
      </c>
      <c r="I816" s="3179">
        <v>7.67</v>
      </c>
      <c r="J816" s="3179">
        <v>2.41</v>
      </c>
      <c r="L816" s="3177">
        <v>814</v>
      </c>
      <c r="M816" s="3175">
        <v>-10028</v>
      </c>
      <c r="N816" s="3175" t="s">
        <v>4187</v>
      </c>
      <c r="O816" s="3176">
        <v>26.98</v>
      </c>
      <c r="P816" s="3176">
        <v>8.49</v>
      </c>
    </row>
    <row r="817" spans="1:16" ht="15" thickBot="1">
      <c r="A817" s="3174">
        <v>815</v>
      </c>
      <c r="B817" s="3175" t="s">
        <v>4250</v>
      </c>
      <c r="C817" s="3176">
        <v>89.29</v>
      </c>
      <c r="D817" s="3176">
        <v>28.11</v>
      </c>
      <c r="F817" s="3177">
        <v>815</v>
      </c>
      <c r="G817" s="3175" t="s">
        <v>4156</v>
      </c>
      <c r="H817" s="3178">
        <v>-1018</v>
      </c>
      <c r="I817" s="3179">
        <v>7.46</v>
      </c>
      <c r="J817" s="3179">
        <v>2.35</v>
      </c>
      <c r="L817" s="3177">
        <v>815</v>
      </c>
      <c r="M817" s="3175">
        <v>-10029</v>
      </c>
      <c r="N817" s="3175" t="s">
        <v>4187</v>
      </c>
      <c r="O817" s="3176">
        <v>26.98</v>
      </c>
      <c r="P817" s="3176">
        <v>8.49</v>
      </c>
    </row>
    <row r="818" spans="1:16" ht="15" thickBot="1">
      <c r="A818" s="3174">
        <v>816</v>
      </c>
      <c r="B818" s="3175" t="s">
        <v>4251</v>
      </c>
      <c r="C818" s="3176">
        <v>113.46</v>
      </c>
      <c r="D818" s="3176">
        <v>35.72</v>
      </c>
      <c r="F818" s="3177">
        <v>816</v>
      </c>
      <c r="G818" s="3175" t="s">
        <v>4156</v>
      </c>
      <c r="H818" s="3178">
        <v>-1019</v>
      </c>
      <c r="I818" s="3179">
        <v>8.91</v>
      </c>
      <c r="J818" s="3179">
        <v>2.81</v>
      </c>
      <c r="L818" s="3177">
        <v>816</v>
      </c>
      <c r="M818" s="3175">
        <v>-10030</v>
      </c>
      <c r="N818" s="3175" t="s">
        <v>4187</v>
      </c>
      <c r="O818" s="3176">
        <v>26.98</v>
      </c>
      <c r="P818" s="3176">
        <v>8.49</v>
      </c>
    </row>
    <row r="819" spans="1:16" ht="15" thickBot="1">
      <c r="A819" s="3174">
        <v>817</v>
      </c>
      <c r="B819" s="3175" t="s">
        <v>4252</v>
      </c>
      <c r="C819" s="3176">
        <v>89.57</v>
      </c>
      <c r="D819" s="3176">
        <v>28.2</v>
      </c>
      <c r="F819" s="3177">
        <v>817</v>
      </c>
      <c r="G819" s="3175" t="s">
        <v>4156</v>
      </c>
      <c r="H819" s="3178">
        <v>-1020</v>
      </c>
      <c r="I819" s="3179">
        <v>8.5</v>
      </c>
      <c r="J819" s="3179">
        <v>2.68</v>
      </c>
      <c r="L819" s="3177">
        <v>817</v>
      </c>
      <c r="M819" s="3175">
        <v>-10031</v>
      </c>
      <c r="N819" s="3175" t="s">
        <v>4187</v>
      </c>
      <c r="O819" s="3176">
        <v>26.98</v>
      </c>
      <c r="P819" s="3176">
        <v>8.49</v>
      </c>
    </row>
    <row r="820" spans="1:16" ht="15" thickBot="1">
      <c r="A820" s="3174">
        <v>818</v>
      </c>
      <c r="B820" s="3175" t="s">
        <v>4253</v>
      </c>
      <c r="C820" s="3176">
        <v>89.29</v>
      </c>
      <c r="D820" s="3176">
        <v>28.11</v>
      </c>
      <c r="F820" s="3177">
        <v>818</v>
      </c>
      <c r="G820" s="3175" t="s">
        <v>4156</v>
      </c>
      <c r="H820" s="3178">
        <v>-1021</v>
      </c>
      <c r="I820" s="3179">
        <v>9</v>
      </c>
      <c r="J820" s="3179">
        <v>2.83</v>
      </c>
      <c r="L820" s="3177">
        <v>818</v>
      </c>
      <c r="M820" s="3175">
        <v>-10032</v>
      </c>
      <c r="N820" s="3175" t="s">
        <v>4187</v>
      </c>
      <c r="O820" s="3176">
        <v>26.98</v>
      </c>
      <c r="P820" s="3176">
        <v>8.49</v>
      </c>
    </row>
    <row r="821" spans="1:16" ht="15" thickBot="1">
      <c r="A821" s="3174">
        <v>819</v>
      </c>
      <c r="B821" s="3175" t="s">
        <v>4254</v>
      </c>
      <c r="C821" s="3176">
        <v>89.29</v>
      </c>
      <c r="D821" s="3176">
        <v>28.11</v>
      </c>
      <c r="F821" s="3177">
        <v>819</v>
      </c>
      <c r="G821" s="3175" t="s">
        <v>4156</v>
      </c>
      <c r="H821" s="3178">
        <v>-1022</v>
      </c>
      <c r="I821" s="3179">
        <v>11.7</v>
      </c>
      <c r="J821" s="3179">
        <v>3.68</v>
      </c>
      <c r="L821" s="3177">
        <v>819</v>
      </c>
      <c r="M821" s="3175">
        <v>-10033</v>
      </c>
      <c r="N821" s="3175" t="s">
        <v>4187</v>
      </c>
      <c r="O821" s="3176">
        <v>26.98</v>
      </c>
      <c r="P821" s="3176">
        <v>8.49</v>
      </c>
    </row>
    <row r="822" spans="1:16" ht="15" thickBot="1">
      <c r="A822" s="3174">
        <v>820</v>
      </c>
      <c r="B822" s="3175" t="s">
        <v>4255</v>
      </c>
      <c r="C822" s="3176">
        <v>113.46</v>
      </c>
      <c r="D822" s="3176">
        <v>35.72</v>
      </c>
      <c r="F822" s="3177">
        <v>820</v>
      </c>
      <c r="G822" s="3175" t="s">
        <v>4156</v>
      </c>
      <c r="H822" s="3178">
        <v>-1023</v>
      </c>
      <c r="I822" s="3179">
        <v>7.2</v>
      </c>
      <c r="J822" s="3179">
        <v>2.27</v>
      </c>
      <c r="L822" s="3177">
        <v>820</v>
      </c>
      <c r="M822" s="3175">
        <v>-10034</v>
      </c>
      <c r="N822" s="3175" t="s">
        <v>4187</v>
      </c>
      <c r="O822" s="3176">
        <v>26.98</v>
      </c>
      <c r="P822" s="3176">
        <v>8.49</v>
      </c>
    </row>
    <row r="823" spans="1:16" ht="15" thickBot="1">
      <c r="A823" s="3174">
        <v>821</v>
      </c>
      <c r="B823" s="3175" t="s">
        <v>4256</v>
      </c>
      <c r="C823" s="3176">
        <v>89.57</v>
      </c>
      <c r="D823" s="3176">
        <v>28.2</v>
      </c>
      <c r="F823" s="3177">
        <v>821</v>
      </c>
      <c r="G823" s="3175" t="s">
        <v>4156</v>
      </c>
      <c r="H823" s="3178">
        <v>-1024</v>
      </c>
      <c r="I823" s="3179">
        <v>7.37</v>
      </c>
      <c r="J823" s="3179">
        <v>2.3199999999999998</v>
      </c>
      <c r="L823" s="3177">
        <v>821</v>
      </c>
      <c r="M823" s="3175">
        <v>-10035</v>
      </c>
      <c r="N823" s="3175" t="s">
        <v>4187</v>
      </c>
      <c r="O823" s="3176">
        <v>26.98</v>
      </c>
      <c r="P823" s="3176">
        <v>8.49</v>
      </c>
    </row>
    <row r="824" spans="1:16" ht="15" thickBot="1">
      <c r="A824" s="3174">
        <v>822</v>
      </c>
      <c r="B824" s="3175" t="s">
        <v>4257</v>
      </c>
      <c r="C824" s="3176">
        <v>89.29</v>
      </c>
      <c r="D824" s="3176">
        <v>28.11</v>
      </c>
      <c r="F824" s="3177">
        <v>822</v>
      </c>
      <c r="G824" s="3175" t="s">
        <v>4156</v>
      </c>
      <c r="H824" s="3178">
        <v>-1025</v>
      </c>
      <c r="I824" s="3179">
        <v>7.24</v>
      </c>
      <c r="J824" s="3179">
        <v>2.2799999999999998</v>
      </c>
      <c r="L824" s="3177">
        <v>822</v>
      </c>
      <c r="M824" s="3175">
        <v>-10036</v>
      </c>
      <c r="N824" s="3175" t="s">
        <v>4187</v>
      </c>
      <c r="O824" s="3176">
        <v>26.98</v>
      </c>
      <c r="P824" s="3176">
        <v>8.49</v>
      </c>
    </row>
    <row r="825" spans="1:16" ht="15" thickBot="1">
      <c r="A825" s="3174">
        <v>823</v>
      </c>
      <c r="B825" s="3175" t="s">
        <v>4258</v>
      </c>
      <c r="C825" s="3176">
        <v>89.29</v>
      </c>
      <c r="D825" s="3176">
        <v>28.11</v>
      </c>
      <c r="F825" s="3177">
        <v>823</v>
      </c>
      <c r="G825" s="3175" t="s">
        <v>4156</v>
      </c>
      <c r="H825" s="3178">
        <v>-1026</v>
      </c>
      <c r="I825" s="3179">
        <v>7.07</v>
      </c>
      <c r="J825" s="3179">
        <v>2.23</v>
      </c>
      <c r="L825" s="3177">
        <v>823</v>
      </c>
      <c r="M825" s="3175">
        <v>-10037</v>
      </c>
      <c r="N825" s="3175" t="s">
        <v>4187</v>
      </c>
      <c r="O825" s="3176">
        <v>26.98</v>
      </c>
      <c r="P825" s="3176">
        <v>8.49</v>
      </c>
    </row>
    <row r="826" spans="1:16" ht="15" thickBot="1">
      <c r="A826" s="3174">
        <v>824</v>
      </c>
      <c r="B826" s="3175" t="s">
        <v>4259</v>
      </c>
      <c r="C826" s="3176">
        <v>113.46</v>
      </c>
      <c r="D826" s="3176">
        <v>35.72</v>
      </c>
      <c r="F826" s="3177">
        <v>824</v>
      </c>
      <c r="G826" s="3175" t="s">
        <v>4156</v>
      </c>
      <c r="H826" s="3178">
        <v>-1027</v>
      </c>
      <c r="I826" s="3179">
        <v>10.35</v>
      </c>
      <c r="J826" s="3179">
        <v>3.26</v>
      </c>
      <c r="L826" s="3177">
        <v>824</v>
      </c>
      <c r="M826" s="3175">
        <v>-10038</v>
      </c>
      <c r="N826" s="3175" t="s">
        <v>4187</v>
      </c>
      <c r="O826" s="3176">
        <v>26.98</v>
      </c>
      <c r="P826" s="3176">
        <v>8.49</v>
      </c>
    </row>
    <row r="827" spans="1:16" ht="15" thickBot="1">
      <c r="A827" s="3174">
        <v>825</v>
      </c>
      <c r="B827" s="3175" t="s">
        <v>4260</v>
      </c>
      <c r="C827" s="3176">
        <v>89.57</v>
      </c>
      <c r="D827" s="3176">
        <v>28.2</v>
      </c>
      <c r="F827" s="3177">
        <v>825</v>
      </c>
      <c r="G827" s="3175" t="s">
        <v>4156</v>
      </c>
      <c r="H827" s="3178">
        <v>-1028</v>
      </c>
      <c r="I827" s="3179">
        <v>10.17</v>
      </c>
      <c r="J827" s="3179">
        <v>3.2</v>
      </c>
      <c r="L827" s="3177">
        <v>825</v>
      </c>
      <c r="M827" s="3175">
        <v>-10039</v>
      </c>
      <c r="N827" s="3175" t="s">
        <v>4187</v>
      </c>
      <c r="O827" s="3176">
        <v>26.98</v>
      </c>
      <c r="P827" s="3176">
        <v>8.49</v>
      </c>
    </row>
    <row r="828" spans="1:16" ht="15" thickBot="1">
      <c r="A828" s="3174">
        <v>826</v>
      </c>
      <c r="B828" s="3175" t="s">
        <v>4261</v>
      </c>
      <c r="C828" s="3176">
        <v>89.29</v>
      </c>
      <c r="D828" s="3176">
        <v>28.11</v>
      </c>
      <c r="F828" s="3177">
        <v>826</v>
      </c>
      <c r="G828" s="3175" t="s">
        <v>4156</v>
      </c>
      <c r="H828" s="3178">
        <v>-1029</v>
      </c>
      <c r="I828" s="3179">
        <v>12.37</v>
      </c>
      <c r="J828" s="3179">
        <v>3.89</v>
      </c>
      <c r="L828" s="3177">
        <v>826</v>
      </c>
      <c r="M828" s="3175">
        <v>-10040</v>
      </c>
      <c r="N828" s="3175" t="s">
        <v>4187</v>
      </c>
      <c r="O828" s="3176">
        <v>26.98</v>
      </c>
      <c r="P828" s="3176">
        <v>8.49</v>
      </c>
    </row>
    <row r="829" spans="1:16" ht="15" thickBot="1">
      <c r="A829" s="3174">
        <v>827</v>
      </c>
      <c r="B829" s="3175" t="s">
        <v>4262</v>
      </c>
      <c r="C829" s="3176">
        <v>89.29</v>
      </c>
      <c r="D829" s="3176">
        <v>28.11</v>
      </c>
      <c r="F829" s="3177">
        <v>827</v>
      </c>
      <c r="G829" s="3175" t="s">
        <v>4156</v>
      </c>
      <c r="H829" s="3178">
        <v>-1030</v>
      </c>
      <c r="I829" s="3179">
        <v>9.3000000000000007</v>
      </c>
      <c r="J829" s="3179">
        <v>2.93</v>
      </c>
      <c r="L829" s="3177">
        <v>827</v>
      </c>
      <c r="M829" s="3175">
        <v>-10041</v>
      </c>
      <c r="N829" s="3175" t="s">
        <v>4187</v>
      </c>
      <c r="O829" s="3176">
        <v>26.98</v>
      </c>
      <c r="P829" s="3176">
        <v>8.49</v>
      </c>
    </row>
    <row r="830" spans="1:16" ht="15" thickBot="1">
      <c r="A830" s="3174">
        <v>828</v>
      </c>
      <c r="B830" s="3175" t="s">
        <v>4263</v>
      </c>
      <c r="C830" s="3176">
        <v>113.46</v>
      </c>
      <c r="D830" s="3176">
        <v>35.72</v>
      </c>
      <c r="F830" s="3177">
        <v>828</v>
      </c>
      <c r="G830" s="3175" t="s">
        <v>4156</v>
      </c>
      <c r="H830" s="3178">
        <v>-1031</v>
      </c>
      <c r="I830" s="3179">
        <v>9.4600000000000009</v>
      </c>
      <c r="J830" s="3179">
        <v>2.98</v>
      </c>
      <c r="L830" s="3177">
        <v>828</v>
      </c>
      <c r="M830" s="3175">
        <v>-10042</v>
      </c>
      <c r="N830" s="3175" t="s">
        <v>4187</v>
      </c>
      <c r="O830" s="3176">
        <v>26.98</v>
      </c>
      <c r="P830" s="3176">
        <v>8.49</v>
      </c>
    </row>
    <row r="831" spans="1:16" ht="15" thickBot="1">
      <c r="A831" s="3174">
        <v>829</v>
      </c>
      <c r="B831" s="3175" t="s">
        <v>4264</v>
      </c>
      <c r="C831" s="3176">
        <v>89.57</v>
      </c>
      <c r="D831" s="3176">
        <v>28.2</v>
      </c>
      <c r="F831" s="3177">
        <v>829</v>
      </c>
      <c r="G831" s="3175" t="s">
        <v>4156</v>
      </c>
      <c r="H831" s="3178">
        <v>-1032</v>
      </c>
      <c r="I831" s="3179">
        <v>12.91</v>
      </c>
      <c r="J831" s="3179">
        <v>4.0599999999999996</v>
      </c>
      <c r="L831" s="3177">
        <v>829</v>
      </c>
      <c r="M831" s="3175">
        <v>-10043</v>
      </c>
      <c r="N831" s="3175" t="s">
        <v>4187</v>
      </c>
      <c r="O831" s="3176">
        <v>26.98</v>
      </c>
      <c r="P831" s="3176">
        <v>8.49</v>
      </c>
    </row>
    <row r="832" spans="1:16" ht="15" thickBot="1">
      <c r="A832" s="3174">
        <v>830</v>
      </c>
      <c r="B832" s="3175" t="s">
        <v>4265</v>
      </c>
      <c r="C832" s="3176">
        <v>89.29</v>
      </c>
      <c r="D832" s="3176">
        <v>28.11</v>
      </c>
      <c r="F832" s="3177">
        <v>830</v>
      </c>
      <c r="G832" s="3175" t="s">
        <v>4156</v>
      </c>
      <c r="H832" s="3178">
        <v>-1033</v>
      </c>
      <c r="I832" s="3179">
        <v>12.91</v>
      </c>
      <c r="J832" s="3179">
        <v>4.0599999999999996</v>
      </c>
      <c r="L832" s="3177">
        <v>830</v>
      </c>
      <c r="M832" s="3175">
        <v>-10044</v>
      </c>
      <c r="N832" s="3175" t="s">
        <v>4187</v>
      </c>
      <c r="O832" s="3176">
        <v>26.98</v>
      </c>
      <c r="P832" s="3176">
        <v>8.49</v>
      </c>
    </row>
    <row r="833" spans="1:16" ht="15" thickBot="1">
      <c r="A833" s="3174">
        <v>831</v>
      </c>
      <c r="B833" s="3175" t="s">
        <v>4266</v>
      </c>
      <c r="C833" s="3176">
        <v>89.29</v>
      </c>
      <c r="D833" s="3176">
        <v>28.11</v>
      </c>
      <c r="F833" s="3177">
        <v>831</v>
      </c>
      <c r="G833" s="3175" t="s">
        <v>4156</v>
      </c>
      <c r="H833" s="3178">
        <v>-1034</v>
      </c>
      <c r="I833" s="3179">
        <v>12.91</v>
      </c>
      <c r="J833" s="3179">
        <v>4.0599999999999996</v>
      </c>
      <c r="L833" s="3177">
        <v>831</v>
      </c>
      <c r="M833" s="3175">
        <v>-10045</v>
      </c>
      <c r="N833" s="3175" t="s">
        <v>4187</v>
      </c>
      <c r="O833" s="3176">
        <v>26.98</v>
      </c>
      <c r="P833" s="3176">
        <v>8.49</v>
      </c>
    </row>
    <row r="834" spans="1:16" ht="15" thickBot="1">
      <c r="A834" s="3174">
        <v>832</v>
      </c>
      <c r="B834" s="3175" t="s">
        <v>4267</v>
      </c>
      <c r="C834" s="3176">
        <v>113.46</v>
      </c>
      <c r="D834" s="3176">
        <v>35.72</v>
      </c>
      <c r="F834" s="3177">
        <v>832</v>
      </c>
      <c r="G834" s="3175" t="s">
        <v>4156</v>
      </c>
      <c r="H834" s="3178">
        <v>-1035</v>
      </c>
      <c r="I834" s="3179">
        <v>12.91</v>
      </c>
      <c r="J834" s="3179">
        <v>4.0599999999999996</v>
      </c>
      <c r="L834" s="3177">
        <v>832</v>
      </c>
      <c r="M834" s="3175">
        <v>-10046</v>
      </c>
      <c r="N834" s="3175" t="s">
        <v>4187</v>
      </c>
      <c r="O834" s="3176">
        <v>26.98</v>
      </c>
      <c r="P834" s="3176">
        <v>8.49</v>
      </c>
    </row>
    <row r="835" spans="1:16" ht="15" thickBot="1">
      <c r="A835" s="3174">
        <v>833</v>
      </c>
      <c r="B835" s="3175" t="s">
        <v>4268</v>
      </c>
      <c r="C835" s="3176">
        <v>89.57</v>
      </c>
      <c r="D835" s="3176">
        <v>28.2</v>
      </c>
      <c r="F835" s="3177">
        <v>833</v>
      </c>
      <c r="G835" s="3175" t="s">
        <v>4156</v>
      </c>
      <c r="H835" s="3178">
        <v>-1036</v>
      </c>
      <c r="I835" s="3179">
        <v>9.4600000000000009</v>
      </c>
      <c r="J835" s="3179">
        <v>2.98</v>
      </c>
      <c r="L835" s="3177">
        <v>833</v>
      </c>
      <c r="M835" s="3175">
        <v>-10047</v>
      </c>
      <c r="N835" s="3175" t="s">
        <v>4187</v>
      </c>
      <c r="O835" s="3176">
        <v>26.98</v>
      </c>
      <c r="P835" s="3176">
        <v>8.49</v>
      </c>
    </row>
    <row r="836" spans="1:16" ht="15" thickBot="1">
      <c r="A836" s="3174">
        <v>834</v>
      </c>
      <c r="B836" s="3175" t="s">
        <v>4269</v>
      </c>
      <c r="C836" s="3176">
        <v>89.29</v>
      </c>
      <c r="D836" s="3176">
        <v>28.11</v>
      </c>
      <c r="F836" s="3177">
        <v>834</v>
      </c>
      <c r="G836" s="3175" t="s">
        <v>4156</v>
      </c>
      <c r="H836" s="3178">
        <v>-1037</v>
      </c>
      <c r="I836" s="3179">
        <v>9.3000000000000007</v>
      </c>
      <c r="J836" s="3179">
        <v>2.93</v>
      </c>
      <c r="L836" s="3177">
        <v>834</v>
      </c>
      <c r="M836" s="3175">
        <v>-10048</v>
      </c>
      <c r="N836" s="3175" t="s">
        <v>4187</v>
      </c>
      <c r="O836" s="3176">
        <v>26.98</v>
      </c>
      <c r="P836" s="3176">
        <v>8.49</v>
      </c>
    </row>
    <row r="837" spans="1:16" ht="15" thickBot="1">
      <c r="A837" s="3174">
        <v>835</v>
      </c>
      <c r="B837" s="3175" t="s">
        <v>4270</v>
      </c>
      <c r="C837" s="3176">
        <v>89.29</v>
      </c>
      <c r="D837" s="3176">
        <v>28.11</v>
      </c>
      <c r="F837" s="3177">
        <v>835</v>
      </c>
      <c r="G837" s="3175" t="s">
        <v>4156</v>
      </c>
      <c r="H837" s="3178">
        <v>-1038</v>
      </c>
      <c r="I837" s="3179">
        <v>12.37</v>
      </c>
      <c r="J837" s="3179">
        <v>3.89</v>
      </c>
      <c r="L837" s="3177">
        <v>835</v>
      </c>
      <c r="M837" s="3175">
        <v>-10049</v>
      </c>
      <c r="N837" s="3175" t="s">
        <v>4187</v>
      </c>
      <c r="O837" s="3176">
        <v>26.98</v>
      </c>
      <c r="P837" s="3176">
        <v>8.49</v>
      </c>
    </row>
    <row r="838" spans="1:16" ht="15" thickBot="1">
      <c r="A838" s="3174">
        <v>836</v>
      </c>
      <c r="B838" s="3175" t="s">
        <v>4271</v>
      </c>
      <c r="C838" s="3176">
        <v>113.46</v>
      </c>
      <c r="D838" s="3176">
        <v>35.72</v>
      </c>
      <c r="F838" s="3177">
        <v>836</v>
      </c>
      <c r="G838" s="3175" t="s">
        <v>4156</v>
      </c>
      <c r="H838" s="3178">
        <v>-1039</v>
      </c>
      <c r="I838" s="3179">
        <v>10.17</v>
      </c>
      <c r="J838" s="3179">
        <v>3.2</v>
      </c>
      <c r="L838" s="3177">
        <v>836</v>
      </c>
      <c r="M838" s="3175">
        <v>-10050</v>
      </c>
      <c r="N838" s="3175" t="s">
        <v>4187</v>
      </c>
      <c r="O838" s="3176">
        <v>26.98</v>
      </c>
      <c r="P838" s="3176">
        <v>8.49</v>
      </c>
    </row>
    <row r="839" spans="1:16" ht="15" thickBot="1">
      <c r="A839" s="3174">
        <v>837</v>
      </c>
      <c r="B839" s="3175" t="s">
        <v>4272</v>
      </c>
      <c r="C839" s="3176">
        <v>89.57</v>
      </c>
      <c r="D839" s="3176">
        <v>28.2</v>
      </c>
      <c r="F839" s="3177">
        <v>837</v>
      </c>
      <c r="G839" s="3175" t="s">
        <v>4156</v>
      </c>
      <c r="H839" s="3178">
        <v>-1040</v>
      </c>
      <c r="I839" s="3179">
        <v>10.35</v>
      </c>
      <c r="J839" s="3179">
        <v>3.26</v>
      </c>
      <c r="L839" s="3177">
        <v>837</v>
      </c>
      <c r="M839" s="3175">
        <v>-10051</v>
      </c>
      <c r="N839" s="3175" t="s">
        <v>4187</v>
      </c>
      <c r="O839" s="3176">
        <v>26.98</v>
      </c>
      <c r="P839" s="3176">
        <v>8.49</v>
      </c>
    </row>
    <row r="840" spans="1:16" ht="15" thickBot="1">
      <c r="A840" s="3174">
        <v>838</v>
      </c>
      <c r="B840" s="3175" t="s">
        <v>4273</v>
      </c>
      <c r="C840" s="3176">
        <v>89.29</v>
      </c>
      <c r="D840" s="3176">
        <v>28.11</v>
      </c>
      <c r="F840" s="3177">
        <v>838</v>
      </c>
      <c r="G840" s="3175" t="s">
        <v>4156</v>
      </c>
      <c r="H840" s="3178">
        <v>-1041</v>
      </c>
      <c r="I840" s="3179">
        <v>7.2</v>
      </c>
      <c r="J840" s="3179">
        <v>2.27</v>
      </c>
      <c r="L840" s="3177">
        <v>838</v>
      </c>
      <c r="M840" s="3175">
        <v>-10052</v>
      </c>
      <c r="N840" s="3175" t="s">
        <v>4187</v>
      </c>
      <c r="O840" s="3176">
        <v>26.98</v>
      </c>
      <c r="P840" s="3176">
        <v>8.49</v>
      </c>
    </row>
    <row r="841" spans="1:16" ht="15" thickBot="1">
      <c r="A841" s="3174">
        <v>839</v>
      </c>
      <c r="B841" s="3175" t="s">
        <v>4274</v>
      </c>
      <c r="C841" s="3176">
        <v>89.29</v>
      </c>
      <c r="D841" s="3176">
        <v>28.11</v>
      </c>
      <c r="F841" s="3177">
        <v>839</v>
      </c>
      <c r="G841" s="3175" t="s">
        <v>4156</v>
      </c>
      <c r="H841" s="3178">
        <v>-1042</v>
      </c>
      <c r="I841" s="3179">
        <v>7.37</v>
      </c>
      <c r="J841" s="3179">
        <v>2.3199999999999998</v>
      </c>
      <c r="L841" s="3177">
        <v>839</v>
      </c>
      <c r="M841" s="3175">
        <v>-10053</v>
      </c>
      <c r="N841" s="3175" t="s">
        <v>4187</v>
      </c>
      <c r="O841" s="3176">
        <v>26.98</v>
      </c>
      <c r="P841" s="3176">
        <v>8.49</v>
      </c>
    </row>
    <row r="842" spans="1:16" ht="15" thickBot="1">
      <c r="A842" s="3174">
        <v>840</v>
      </c>
      <c r="B842" s="3175" t="s">
        <v>4275</v>
      </c>
      <c r="C842" s="3176">
        <v>113.46</v>
      </c>
      <c r="D842" s="3176">
        <v>35.72</v>
      </c>
      <c r="F842" s="3177">
        <v>840</v>
      </c>
      <c r="G842" s="3175" t="s">
        <v>4156</v>
      </c>
      <c r="H842" s="3178">
        <v>-1043</v>
      </c>
      <c r="I842" s="3179">
        <v>7.37</v>
      </c>
      <c r="J842" s="3179">
        <v>2.3199999999999998</v>
      </c>
      <c r="L842" s="3177">
        <v>840</v>
      </c>
      <c r="M842" s="3175">
        <v>-10054</v>
      </c>
      <c r="N842" s="3175" t="s">
        <v>4187</v>
      </c>
      <c r="O842" s="3176">
        <v>26.98</v>
      </c>
      <c r="P842" s="3176">
        <v>8.49</v>
      </c>
    </row>
    <row r="843" spans="1:16" ht="15" thickBot="1">
      <c r="A843" s="3174">
        <v>841</v>
      </c>
      <c r="B843" s="3175" t="s">
        <v>4276</v>
      </c>
      <c r="C843" s="3176">
        <v>89.57</v>
      </c>
      <c r="D843" s="3176">
        <v>28.2</v>
      </c>
      <c r="F843" s="3177">
        <v>841</v>
      </c>
      <c r="G843" s="3175" t="s">
        <v>4156</v>
      </c>
      <c r="H843" s="3178">
        <v>-1044</v>
      </c>
      <c r="I843" s="3179">
        <v>7.2</v>
      </c>
      <c r="J843" s="3179">
        <v>2.27</v>
      </c>
      <c r="L843" s="3177">
        <v>841</v>
      </c>
      <c r="M843" s="3175">
        <v>-10055</v>
      </c>
      <c r="N843" s="3175" t="s">
        <v>4187</v>
      </c>
      <c r="O843" s="3176">
        <v>26.98</v>
      </c>
      <c r="P843" s="3176">
        <v>8.49</v>
      </c>
    </row>
    <row r="844" spans="1:16" ht="15" thickBot="1">
      <c r="A844" s="3174">
        <v>842</v>
      </c>
      <c r="B844" s="3175" t="s">
        <v>4277</v>
      </c>
      <c r="C844" s="3176">
        <v>89.29</v>
      </c>
      <c r="D844" s="3176">
        <v>28.11</v>
      </c>
      <c r="F844" s="3177">
        <v>842</v>
      </c>
      <c r="G844" s="3175" t="s">
        <v>4156</v>
      </c>
      <c r="H844" s="3178">
        <v>-1045</v>
      </c>
      <c r="I844" s="3179">
        <v>10.35</v>
      </c>
      <c r="J844" s="3179">
        <v>3.26</v>
      </c>
      <c r="L844" s="3177">
        <v>842</v>
      </c>
      <c r="M844" s="3175">
        <v>-10056</v>
      </c>
      <c r="N844" s="3175" t="s">
        <v>4187</v>
      </c>
      <c r="O844" s="3176">
        <v>26.98</v>
      </c>
      <c r="P844" s="3176">
        <v>8.49</v>
      </c>
    </row>
    <row r="845" spans="1:16" ht="15" thickBot="1">
      <c r="A845" s="3174">
        <v>843</v>
      </c>
      <c r="B845" s="3175" t="s">
        <v>4278</v>
      </c>
      <c r="C845" s="3176">
        <v>89.29</v>
      </c>
      <c r="D845" s="3176">
        <v>28.11</v>
      </c>
      <c r="F845" s="3177">
        <v>843</v>
      </c>
      <c r="G845" s="3175" t="s">
        <v>4156</v>
      </c>
      <c r="H845" s="3178">
        <v>-1046</v>
      </c>
      <c r="I845" s="3179">
        <v>10.17</v>
      </c>
      <c r="J845" s="3179">
        <v>3.2</v>
      </c>
      <c r="L845" s="3177">
        <v>843</v>
      </c>
      <c r="M845" s="3175">
        <v>-10057</v>
      </c>
      <c r="N845" s="3175" t="s">
        <v>4187</v>
      </c>
      <c r="O845" s="3176">
        <v>26.98</v>
      </c>
      <c r="P845" s="3176">
        <v>8.49</v>
      </c>
    </row>
    <row r="846" spans="1:16" ht="15" thickBot="1">
      <c r="A846" s="3174">
        <v>844</v>
      </c>
      <c r="B846" s="3175" t="s">
        <v>4279</v>
      </c>
      <c r="C846" s="3176">
        <v>113.46</v>
      </c>
      <c r="D846" s="3176">
        <v>35.72</v>
      </c>
      <c r="F846" s="3177">
        <v>844</v>
      </c>
      <c r="G846" s="3175" t="s">
        <v>4156</v>
      </c>
      <c r="H846" s="3178">
        <v>-1047</v>
      </c>
      <c r="I846" s="3179">
        <v>10.61</v>
      </c>
      <c r="J846" s="3179">
        <v>3.34</v>
      </c>
      <c r="L846" s="3177">
        <v>844</v>
      </c>
      <c r="M846" s="3175">
        <v>-10058</v>
      </c>
      <c r="N846" s="3175" t="s">
        <v>4187</v>
      </c>
      <c r="O846" s="3176">
        <v>26.98</v>
      </c>
      <c r="P846" s="3176">
        <v>8.49</v>
      </c>
    </row>
    <row r="847" spans="1:16" ht="15" thickBot="1">
      <c r="A847" s="3174">
        <v>845</v>
      </c>
      <c r="B847" s="3175" t="s">
        <v>4280</v>
      </c>
      <c r="C847" s="3176">
        <v>89.57</v>
      </c>
      <c r="D847" s="3176">
        <v>28.2</v>
      </c>
      <c r="F847" s="3177">
        <v>845</v>
      </c>
      <c r="G847" s="3175" t="s">
        <v>4156</v>
      </c>
      <c r="H847" s="3178">
        <v>-1048</v>
      </c>
      <c r="I847" s="3179">
        <v>9.02</v>
      </c>
      <c r="J847" s="3179">
        <v>2.84</v>
      </c>
      <c r="L847" s="3177">
        <v>845</v>
      </c>
      <c r="M847" s="3175">
        <v>-10059</v>
      </c>
      <c r="N847" s="3175" t="s">
        <v>4187</v>
      </c>
      <c r="O847" s="3176">
        <v>26.98</v>
      </c>
      <c r="P847" s="3176">
        <v>8.49</v>
      </c>
    </row>
    <row r="848" spans="1:16" ht="15" thickBot="1">
      <c r="A848" s="3174">
        <v>846</v>
      </c>
      <c r="B848" s="3175" t="s">
        <v>4281</v>
      </c>
      <c r="C848" s="3176">
        <v>89.29</v>
      </c>
      <c r="D848" s="3176">
        <v>28.11</v>
      </c>
      <c r="F848" s="3177">
        <v>846</v>
      </c>
      <c r="G848" s="3175" t="s">
        <v>4156</v>
      </c>
      <c r="H848" s="3178">
        <v>-1049</v>
      </c>
      <c r="I848" s="3179">
        <v>8.5</v>
      </c>
      <c r="J848" s="3179">
        <v>2.68</v>
      </c>
      <c r="L848" s="3177">
        <v>846</v>
      </c>
      <c r="M848" s="3175">
        <v>-10060</v>
      </c>
      <c r="N848" s="3175" t="s">
        <v>4187</v>
      </c>
      <c r="O848" s="3176">
        <v>26.98</v>
      </c>
      <c r="P848" s="3176">
        <v>8.49</v>
      </c>
    </row>
    <row r="849" spans="1:16" ht="15" thickBot="1">
      <c r="A849" s="3174">
        <v>847</v>
      </c>
      <c r="B849" s="3175" t="s">
        <v>4282</v>
      </c>
      <c r="C849" s="3176">
        <v>89.29</v>
      </c>
      <c r="D849" s="3176">
        <v>28.11</v>
      </c>
      <c r="F849" s="3177">
        <v>847</v>
      </c>
      <c r="G849" s="3175" t="s">
        <v>4156</v>
      </c>
      <c r="H849" s="3178">
        <v>-1050</v>
      </c>
      <c r="I849" s="3179">
        <v>8.91</v>
      </c>
      <c r="J849" s="3179">
        <v>2.81</v>
      </c>
      <c r="L849" s="3177">
        <v>847</v>
      </c>
      <c r="M849" s="3175">
        <v>-10061</v>
      </c>
      <c r="N849" s="3175" t="s">
        <v>4187</v>
      </c>
      <c r="O849" s="3176">
        <v>26.98</v>
      </c>
      <c r="P849" s="3176">
        <v>8.49</v>
      </c>
    </row>
    <row r="850" spans="1:16" ht="15" thickBot="1">
      <c r="A850" s="3174">
        <v>848</v>
      </c>
      <c r="B850" s="3175" t="s">
        <v>4283</v>
      </c>
      <c r="C850" s="3176">
        <v>113.46</v>
      </c>
      <c r="D850" s="3176">
        <v>35.72</v>
      </c>
      <c r="F850" s="3177">
        <v>848</v>
      </c>
      <c r="G850" s="3175" t="s">
        <v>4156</v>
      </c>
      <c r="H850" s="3178">
        <v>-1051</v>
      </c>
      <c r="I850" s="3179">
        <v>6.81</v>
      </c>
      <c r="J850" s="3179">
        <v>2.14</v>
      </c>
      <c r="L850" s="3177">
        <v>848</v>
      </c>
      <c r="M850" s="3175">
        <v>-10062</v>
      </c>
      <c r="N850" s="3175" t="s">
        <v>4187</v>
      </c>
      <c r="O850" s="3176">
        <v>26.98</v>
      </c>
      <c r="P850" s="3176">
        <v>8.49</v>
      </c>
    </row>
    <row r="851" spans="1:16" ht="15" thickBot="1">
      <c r="A851" s="3174">
        <v>849</v>
      </c>
      <c r="B851" s="3175" t="s">
        <v>4284</v>
      </c>
      <c r="C851" s="3176">
        <v>89.57</v>
      </c>
      <c r="D851" s="3176">
        <v>28.2</v>
      </c>
      <c r="F851" s="3177">
        <v>849</v>
      </c>
      <c r="G851" s="3175" t="s">
        <v>4156</v>
      </c>
      <c r="H851" s="3178">
        <v>-1052</v>
      </c>
      <c r="I851" s="3179">
        <v>7.67</v>
      </c>
      <c r="J851" s="3179">
        <v>2.41</v>
      </c>
      <c r="L851" s="3177">
        <v>849</v>
      </c>
      <c r="M851" s="3175">
        <v>-10063</v>
      </c>
      <c r="N851" s="3175" t="s">
        <v>4187</v>
      </c>
      <c r="O851" s="3176">
        <v>26.98</v>
      </c>
      <c r="P851" s="3176">
        <v>8.49</v>
      </c>
    </row>
    <row r="852" spans="1:16" ht="15" thickBot="1">
      <c r="A852" s="3174">
        <v>850</v>
      </c>
      <c r="B852" s="3175" t="s">
        <v>4285</v>
      </c>
      <c r="C852" s="3176">
        <v>89.29</v>
      </c>
      <c r="D852" s="3176">
        <v>28.11</v>
      </c>
      <c r="F852" s="3177">
        <v>850</v>
      </c>
      <c r="G852" s="3175" t="s">
        <v>4156</v>
      </c>
      <c r="H852" s="3178">
        <v>-1053</v>
      </c>
      <c r="I852" s="3179">
        <v>6.87</v>
      </c>
      <c r="J852" s="3179">
        <v>2.16</v>
      </c>
      <c r="L852" s="3177">
        <v>850</v>
      </c>
      <c r="M852" s="3175">
        <v>-10064</v>
      </c>
      <c r="N852" s="3175" t="s">
        <v>4187</v>
      </c>
      <c r="O852" s="3176">
        <v>26.98</v>
      </c>
      <c r="P852" s="3176">
        <v>8.49</v>
      </c>
    </row>
    <row r="853" spans="1:16" ht="15" thickBot="1">
      <c r="A853" s="3174">
        <v>851</v>
      </c>
      <c r="B853" s="3175" t="s">
        <v>4286</v>
      </c>
      <c r="C853" s="3176">
        <v>89.29</v>
      </c>
      <c r="D853" s="3176">
        <v>28.11</v>
      </c>
      <c r="F853" s="3177">
        <v>851</v>
      </c>
      <c r="G853" s="3175" t="s">
        <v>4156</v>
      </c>
      <c r="H853" s="3178">
        <v>-1054</v>
      </c>
      <c r="I853" s="3179">
        <v>12.67</v>
      </c>
      <c r="J853" s="3179">
        <v>3.99</v>
      </c>
      <c r="L853" s="3177">
        <v>851</v>
      </c>
      <c r="M853" s="3175">
        <v>-10065</v>
      </c>
      <c r="N853" s="3175" t="s">
        <v>4187</v>
      </c>
      <c r="O853" s="3176">
        <v>26.98</v>
      </c>
      <c r="P853" s="3176">
        <v>8.49</v>
      </c>
    </row>
    <row r="854" spans="1:16" ht="15" thickBot="1">
      <c r="A854" s="3174">
        <v>852</v>
      </c>
      <c r="B854" s="3175" t="s">
        <v>4287</v>
      </c>
      <c r="C854" s="3176">
        <v>113.46</v>
      </c>
      <c r="D854" s="3176">
        <v>35.72</v>
      </c>
      <c r="F854" s="3177">
        <v>852</v>
      </c>
      <c r="G854" s="3175" t="s">
        <v>4288</v>
      </c>
      <c r="H854" s="3178">
        <v>-3001</v>
      </c>
      <c r="I854" s="3179">
        <v>8.58</v>
      </c>
      <c r="J854" s="3179">
        <v>2.7</v>
      </c>
      <c r="L854" s="3177">
        <v>852</v>
      </c>
      <c r="M854" s="3175">
        <v>-10066</v>
      </c>
      <c r="N854" s="3175" t="s">
        <v>4187</v>
      </c>
      <c r="O854" s="3176">
        <v>26.98</v>
      </c>
      <c r="P854" s="3176">
        <v>8.49</v>
      </c>
    </row>
    <row r="855" spans="1:16" ht="15" thickBot="1">
      <c r="A855" s="3174">
        <v>853</v>
      </c>
      <c r="B855" s="3175" t="s">
        <v>4289</v>
      </c>
      <c r="C855" s="3176">
        <v>113.46</v>
      </c>
      <c r="D855" s="3176">
        <v>35.72</v>
      </c>
      <c r="F855" s="3177">
        <v>853</v>
      </c>
      <c r="G855" s="3175" t="s">
        <v>4288</v>
      </c>
      <c r="H855" s="3178">
        <v>-3002</v>
      </c>
      <c r="I855" s="3179">
        <v>8.7200000000000006</v>
      </c>
      <c r="J855" s="3179">
        <v>2.75</v>
      </c>
      <c r="L855" s="3177">
        <v>853</v>
      </c>
      <c r="M855" s="3175">
        <v>-10067</v>
      </c>
      <c r="N855" s="3175" t="s">
        <v>4187</v>
      </c>
      <c r="O855" s="3176">
        <v>26.98</v>
      </c>
      <c r="P855" s="3176">
        <v>8.49</v>
      </c>
    </row>
    <row r="856" spans="1:16" ht="15" thickBot="1">
      <c r="A856" s="3174">
        <v>854</v>
      </c>
      <c r="B856" s="3175" t="s">
        <v>4290</v>
      </c>
      <c r="C856" s="3176">
        <v>89.29</v>
      </c>
      <c r="D856" s="3176">
        <v>28.11</v>
      </c>
      <c r="F856" s="3177">
        <v>854</v>
      </c>
      <c r="G856" s="3175" t="s">
        <v>4288</v>
      </c>
      <c r="H856" s="3178">
        <v>-3003</v>
      </c>
      <c r="I856" s="3179">
        <v>11.13</v>
      </c>
      <c r="J856" s="3179">
        <v>3.5</v>
      </c>
      <c r="L856" s="3177">
        <v>854</v>
      </c>
      <c r="M856" s="3175">
        <v>-10068</v>
      </c>
      <c r="N856" s="3175" t="s">
        <v>4187</v>
      </c>
      <c r="O856" s="3176">
        <v>26.98</v>
      </c>
      <c r="P856" s="3176">
        <v>8.49</v>
      </c>
    </row>
    <row r="857" spans="1:16" ht="15" thickBot="1">
      <c r="A857" s="3174">
        <v>855</v>
      </c>
      <c r="B857" s="3175" t="s">
        <v>4291</v>
      </c>
      <c r="C857" s="3176">
        <v>89.29</v>
      </c>
      <c r="D857" s="3176">
        <v>28.11</v>
      </c>
      <c r="F857" s="3177">
        <v>855</v>
      </c>
      <c r="G857" s="3175" t="s">
        <v>4288</v>
      </c>
      <c r="H857" s="3178">
        <v>-3004</v>
      </c>
      <c r="I857" s="3179">
        <v>15.09</v>
      </c>
      <c r="J857" s="3179">
        <v>4.75</v>
      </c>
      <c r="L857" s="3177">
        <v>855</v>
      </c>
      <c r="M857" s="3175">
        <v>-10069</v>
      </c>
      <c r="N857" s="3175" t="s">
        <v>4187</v>
      </c>
      <c r="O857" s="3176">
        <v>26.98</v>
      </c>
      <c r="P857" s="3176">
        <v>8.49</v>
      </c>
    </row>
    <row r="858" spans="1:16" ht="15" thickBot="1">
      <c r="A858" s="3174">
        <v>856</v>
      </c>
      <c r="B858" s="3175" t="s">
        <v>4292</v>
      </c>
      <c r="C858" s="3176">
        <v>89.57</v>
      </c>
      <c r="D858" s="3176">
        <v>28.2</v>
      </c>
      <c r="F858" s="3177">
        <v>856</v>
      </c>
      <c r="G858" s="3175" t="s">
        <v>4288</v>
      </c>
      <c r="H858" s="3178">
        <v>-3005</v>
      </c>
      <c r="I858" s="3179">
        <v>7.12</v>
      </c>
      <c r="J858" s="3179">
        <v>2.2400000000000002</v>
      </c>
      <c r="L858" s="3177">
        <v>856</v>
      </c>
      <c r="M858" s="3175">
        <v>-10070</v>
      </c>
      <c r="N858" s="3175" t="s">
        <v>4187</v>
      </c>
      <c r="O858" s="3176">
        <v>26.98</v>
      </c>
      <c r="P858" s="3176">
        <v>8.49</v>
      </c>
    </row>
    <row r="859" spans="1:16" ht="15" thickBot="1">
      <c r="A859" s="3174">
        <v>857</v>
      </c>
      <c r="B859" s="3175" t="s">
        <v>4293</v>
      </c>
      <c r="C859" s="3176">
        <v>113.46</v>
      </c>
      <c r="D859" s="3176">
        <v>35.72</v>
      </c>
      <c r="F859" s="3177">
        <v>857</v>
      </c>
      <c r="G859" s="3175" t="s">
        <v>4288</v>
      </c>
      <c r="H859" s="3178">
        <v>-3006</v>
      </c>
      <c r="I859" s="3179">
        <v>6.93</v>
      </c>
      <c r="J859" s="3179">
        <v>2.1800000000000002</v>
      </c>
      <c r="L859" s="3177">
        <v>857</v>
      </c>
      <c r="M859" s="3175">
        <v>-10071</v>
      </c>
      <c r="N859" s="3175" t="s">
        <v>4187</v>
      </c>
      <c r="O859" s="3176">
        <v>26.98</v>
      </c>
      <c r="P859" s="3176">
        <v>8.49</v>
      </c>
    </row>
    <row r="860" spans="1:16" ht="15" thickBot="1">
      <c r="A860" s="3174">
        <v>858</v>
      </c>
      <c r="B860" s="3175" t="s">
        <v>4294</v>
      </c>
      <c r="C860" s="3176">
        <v>89.29</v>
      </c>
      <c r="D860" s="3176">
        <v>28.11</v>
      </c>
      <c r="F860" s="3177">
        <v>858</v>
      </c>
      <c r="G860" s="3175" t="s">
        <v>4288</v>
      </c>
      <c r="H860" s="3178">
        <v>-3007</v>
      </c>
      <c r="I860" s="3179">
        <v>8.7100000000000009</v>
      </c>
      <c r="J860" s="3179">
        <v>2.74</v>
      </c>
      <c r="L860" s="3177">
        <v>858</v>
      </c>
      <c r="M860" s="3175">
        <v>-10072</v>
      </c>
      <c r="N860" s="3175" t="s">
        <v>4187</v>
      </c>
      <c r="O860" s="3176">
        <v>26.98</v>
      </c>
      <c r="P860" s="3176">
        <v>8.49</v>
      </c>
    </row>
    <row r="861" spans="1:16" ht="15" thickBot="1">
      <c r="A861" s="3174">
        <v>859</v>
      </c>
      <c r="B861" s="3175" t="s">
        <v>4295</v>
      </c>
      <c r="C861" s="3176">
        <v>89.29</v>
      </c>
      <c r="D861" s="3176">
        <v>28.11</v>
      </c>
      <c r="F861" s="3177">
        <v>859</v>
      </c>
      <c r="G861" s="3175" t="s">
        <v>4288</v>
      </c>
      <c r="H861" s="3178">
        <v>-3008</v>
      </c>
      <c r="I861" s="3179">
        <v>9.8800000000000008</v>
      </c>
      <c r="J861" s="3179">
        <v>3.11</v>
      </c>
      <c r="L861" s="3177">
        <v>859</v>
      </c>
      <c r="M861" s="3175">
        <v>-10073</v>
      </c>
      <c r="N861" s="3175" t="s">
        <v>4187</v>
      </c>
      <c r="O861" s="3176">
        <v>26.98</v>
      </c>
      <c r="P861" s="3176">
        <v>8.49</v>
      </c>
    </row>
    <row r="862" spans="1:16" ht="15" thickBot="1">
      <c r="A862" s="3174">
        <v>860</v>
      </c>
      <c r="B862" s="3175" t="s">
        <v>4296</v>
      </c>
      <c r="C862" s="3176">
        <v>89.57</v>
      </c>
      <c r="D862" s="3176">
        <v>28.2</v>
      </c>
      <c r="F862" s="3177">
        <v>860</v>
      </c>
      <c r="G862" s="3175" t="s">
        <v>4288</v>
      </c>
      <c r="H862" s="3178">
        <v>-3009</v>
      </c>
      <c r="I862" s="3179">
        <v>9.36</v>
      </c>
      <c r="J862" s="3179">
        <v>2.95</v>
      </c>
      <c r="L862" s="3177">
        <v>860</v>
      </c>
      <c r="M862" s="3175">
        <v>-10074</v>
      </c>
      <c r="N862" s="3175" t="s">
        <v>4187</v>
      </c>
      <c r="O862" s="3176">
        <v>26.98</v>
      </c>
      <c r="P862" s="3176">
        <v>8.49</v>
      </c>
    </row>
    <row r="863" spans="1:16" ht="15" thickBot="1">
      <c r="A863" s="3174">
        <v>861</v>
      </c>
      <c r="B863" s="3175" t="s">
        <v>4297</v>
      </c>
      <c r="C863" s="3176">
        <v>113.46</v>
      </c>
      <c r="D863" s="3176">
        <v>35.72</v>
      </c>
      <c r="F863" s="3177">
        <v>861</v>
      </c>
      <c r="G863" s="3175" t="s">
        <v>4288</v>
      </c>
      <c r="H863" s="3178">
        <v>-3010</v>
      </c>
      <c r="I863" s="3179">
        <v>10.98</v>
      </c>
      <c r="J863" s="3179">
        <v>3.46</v>
      </c>
      <c r="L863" s="3177">
        <v>861</v>
      </c>
      <c r="M863" s="3175">
        <v>-10075</v>
      </c>
      <c r="N863" s="3175" t="s">
        <v>4187</v>
      </c>
      <c r="O863" s="3176">
        <v>26.98</v>
      </c>
      <c r="P863" s="3176">
        <v>8.49</v>
      </c>
    </row>
    <row r="864" spans="1:16" ht="15" thickBot="1">
      <c r="A864" s="3174">
        <v>862</v>
      </c>
      <c r="B864" s="3175" t="s">
        <v>4298</v>
      </c>
      <c r="C864" s="3176">
        <v>89.29</v>
      </c>
      <c r="D864" s="3176">
        <v>28.11</v>
      </c>
      <c r="F864" s="3177">
        <v>862</v>
      </c>
      <c r="G864" s="3175" t="s">
        <v>4288</v>
      </c>
      <c r="H864" s="3178">
        <v>-3011</v>
      </c>
      <c r="I864" s="3179">
        <v>11.29</v>
      </c>
      <c r="J864" s="3179">
        <v>3.55</v>
      </c>
      <c r="L864" s="3177">
        <v>862</v>
      </c>
      <c r="M864" s="3175">
        <v>-10076</v>
      </c>
      <c r="N864" s="3175" t="s">
        <v>4187</v>
      </c>
      <c r="O864" s="3176">
        <v>26.98</v>
      </c>
      <c r="P864" s="3176">
        <v>8.49</v>
      </c>
    </row>
    <row r="865" spans="1:16" ht="15" thickBot="1">
      <c r="A865" s="3174">
        <v>863</v>
      </c>
      <c r="B865" s="3175" t="s">
        <v>4299</v>
      </c>
      <c r="C865" s="3176">
        <v>89.29</v>
      </c>
      <c r="D865" s="3176">
        <v>28.11</v>
      </c>
      <c r="F865" s="3177">
        <v>863</v>
      </c>
      <c r="G865" s="3175" t="s">
        <v>4288</v>
      </c>
      <c r="H865" s="3178">
        <v>-3012</v>
      </c>
      <c r="I865" s="3179">
        <v>10.65</v>
      </c>
      <c r="J865" s="3179">
        <v>3.35</v>
      </c>
      <c r="L865" s="3177">
        <v>863</v>
      </c>
      <c r="M865" s="3175">
        <v>-10077</v>
      </c>
      <c r="N865" s="3175" t="s">
        <v>4187</v>
      </c>
      <c r="O865" s="3176">
        <v>26.98</v>
      </c>
      <c r="P865" s="3176">
        <v>8.49</v>
      </c>
    </row>
    <row r="866" spans="1:16" ht="15" thickBot="1">
      <c r="A866" s="3174">
        <v>864</v>
      </c>
      <c r="B866" s="3175" t="s">
        <v>4300</v>
      </c>
      <c r="C866" s="3176">
        <v>89.57</v>
      </c>
      <c r="D866" s="3176">
        <v>28.2</v>
      </c>
      <c r="F866" s="3177">
        <v>864</v>
      </c>
      <c r="G866" s="3175" t="s">
        <v>4288</v>
      </c>
      <c r="H866" s="3178">
        <v>-3013</v>
      </c>
      <c r="I866" s="3179">
        <v>10.65</v>
      </c>
      <c r="J866" s="3179">
        <v>3.35</v>
      </c>
      <c r="L866" s="3177">
        <v>864</v>
      </c>
      <c r="M866" s="3175">
        <v>-10078</v>
      </c>
      <c r="N866" s="3175" t="s">
        <v>4187</v>
      </c>
      <c r="O866" s="3176">
        <v>26.98</v>
      </c>
      <c r="P866" s="3176">
        <v>8.49</v>
      </c>
    </row>
    <row r="867" spans="1:16" ht="15" thickBot="1">
      <c r="A867" s="3174">
        <v>865</v>
      </c>
      <c r="B867" s="3175" t="s">
        <v>4301</v>
      </c>
      <c r="C867" s="3176">
        <v>113.46</v>
      </c>
      <c r="D867" s="3176">
        <v>35.72</v>
      </c>
      <c r="F867" s="3177">
        <v>865</v>
      </c>
      <c r="G867" s="3175" t="s">
        <v>4288</v>
      </c>
      <c r="H867" s="3178">
        <v>-3014</v>
      </c>
      <c r="I867" s="3179">
        <v>10.199999999999999</v>
      </c>
      <c r="J867" s="3179">
        <v>3.21</v>
      </c>
      <c r="L867" s="3177">
        <v>865</v>
      </c>
      <c r="M867" s="3175">
        <v>-10079</v>
      </c>
      <c r="N867" s="3175" t="s">
        <v>4187</v>
      </c>
      <c r="O867" s="3176">
        <v>26.98</v>
      </c>
      <c r="P867" s="3176">
        <v>8.49</v>
      </c>
    </row>
    <row r="868" spans="1:16" ht="15" thickBot="1">
      <c r="A868" s="3174">
        <v>866</v>
      </c>
      <c r="B868" s="3175" t="s">
        <v>4302</v>
      </c>
      <c r="C868" s="3176">
        <v>89.29</v>
      </c>
      <c r="D868" s="3176">
        <v>28.11</v>
      </c>
      <c r="F868" s="3177">
        <v>866</v>
      </c>
      <c r="G868" s="3175" t="s">
        <v>4288</v>
      </c>
      <c r="H868" s="3178">
        <v>-3015</v>
      </c>
      <c r="I868" s="3179">
        <v>9.1</v>
      </c>
      <c r="J868" s="3179">
        <v>2.87</v>
      </c>
      <c r="L868" s="3177">
        <v>866</v>
      </c>
      <c r="M868" s="3175">
        <v>-10080</v>
      </c>
      <c r="N868" s="3175" t="s">
        <v>4187</v>
      </c>
      <c r="O868" s="3176">
        <v>26.98</v>
      </c>
      <c r="P868" s="3176">
        <v>8.49</v>
      </c>
    </row>
    <row r="869" spans="1:16" ht="15" thickBot="1">
      <c r="A869" s="3174">
        <v>867</v>
      </c>
      <c r="B869" s="3175" t="s">
        <v>4303</v>
      </c>
      <c r="C869" s="3176">
        <v>89.29</v>
      </c>
      <c r="D869" s="3176">
        <v>28.11</v>
      </c>
      <c r="F869" s="3177">
        <v>867</v>
      </c>
      <c r="G869" s="3175" t="s">
        <v>4288</v>
      </c>
      <c r="H869" s="3178">
        <v>-3016</v>
      </c>
      <c r="I869" s="3179">
        <v>11.96</v>
      </c>
      <c r="J869" s="3179">
        <v>3.77</v>
      </c>
      <c r="L869" s="3177">
        <v>867</v>
      </c>
      <c r="M869" s="3175">
        <v>-10081</v>
      </c>
      <c r="N869" s="3175" t="s">
        <v>4187</v>
      </c>
      <c r="O869" s="3176">
        <v>26.98</v>
      </c>
      <c r="P869" s="3176">
        <v>8.49</v>
      </c>
    </row>
    <row r="870" spans="1:16" ht="15" thickBot="1">
      <c r="A870" s="3174">
        <v>868</v>
      </c>
      <c r="B870" s="3175" t="s">
        <v>4304</v>
      </c>
      <c r="C870" s="3176">
        <v>89.57</v>
      </c>
      <c r="D870" s="3176">
        <v>28.2</v>
      </c>
      <c r="F870" s="3177">
        <v>868</v>
      </c>
      <c r="G870" s="3175" t="s">
        <v>4288</v>
      </c>
      <c r="H870" s="3178">
        <v>-3017</v>
      </c>
      <c r="I870" s="3179">
        <v>7.97</v>
      </c>
      <c r="J870" s="3179">
        <v>2.5099999999999998</v>
      </c>
      <c r="L870" s="3177">
        <v>868</v>
      </c>
      <c r="M870" s="3175">
        <v>-10082</v>
      </c>
      <c r="N870" s="3175" t="s">
        <v>4187</v>
      </c>
      <c r="O870" s="3176">
        <v>26.98</v>
      </c>
      <c r="P870" s="3176">
        <v>8.49</v>
      </c>
    </row>
    <row r="871" spans="1:16" ht="15" thickBot="1">
      <c r="A871" s="3174">
        <v>869</v>
      </c>
      <c r="B871" s="3175" t="s">
        <v>4305</v>
      </c>
      <c r="C871" s="3176">
        <v>113.46</v>
      </c>
      <c r="D871" s="3176">
        <v>35.72</v>
      </c>
      <c r="F871" s="3177">
        <v>869</v>
      </c>
      <c r="G871" s="3175" t="s">
        <v>4288</v>
      </c>
      <c r="H871" s="3178">
        <v>-3018</v>
      </c>
      <c r="I871" s="3179">
        <v>12.04</v>
      </c>
      <c r="J871" s="3179">
        <v>3.79</v>
      </c>
      <c r="L871" s="3177">
        <v>869</v>
      </c>
      <c r="M871" s="3175">
        <v>-10083</v>
      </c>
      <c r="N871" s="3175" t="s">
        <v>4187</v>
      </c>
      <c r="O871" s="3176">
        <v>26.98</v>
      </c>
      <c r="P871" s="3176">
        <v>8.49</v>
      </c>
    </row>
    <row r="872" spans="1:16" ht="15" thickBot="1">
      <c r="A872" s="3174">
        <v>870</v>
      </c>
      <c r="B872" s="3175" t="s">
        <v>4306</v>
      </c>
      <c r="C872" s="3176">
        <v>89.29</v>
      </c>
      <c r="D872" s="3176">
        <v>28.11</v>
      </c>
      <c r="F872" s="3177">
        <v>870</v>
      </c>
      <c r="G872" s="3175" t="s">
        <v>4288</v>
      </c>
      <c r="H872" s="3178">
        <v>-3019</v>
      </c>
      <c r="I872" s="3179">
        <v>8.76</v>
      </c>
      <c r="J872" s="3179">
        <v>2.76</v>
      </c>
      <c r="L872" s="3177">
        <v>870</v>
      </c>
      <c r="M872" s="3175">
        <v>-10084</v>
      </c>
      <c r="N872" s="3175" t="s">
        <v>4187</v>
      </c>
      <c r="O872" s="3176">
        <v>26.98</v>
      </c>
      <c r="P872" s="3176">
        <v>8.49</v>
      </c>
    </row>
    <row r="873" spans="1:16" ht="15" thickBot="1">
      <c r="A873" s="3174">
        <v>871</v>
      </c>
      <c r="B873" s="3175" t="s">
        <v>4307</v>
      </c>
      <c r="C873" s="3176">
        <v>89.29</v>
      </c>
      <c r="D873" s="3176">
        <v>28.11</v>
      </c>
      <c r="F873" s="3177">
        <v>871</v>
      </c>
      <c r="G873" s="3175" t="s">
        <v>4288</v>
      </c>
      <c r="H873" s="3178">
        <v>-3020</v>
      </c>
      <c r="I873" s="3179">
        <v>8.76</v>
      </c>
      <c r="J873" s="3179">
        <v>2.76</v>
      </c>
      <c r="L873" s="3177">
        <v>871</v>
      </c>
      <c r="M873" s="3175">
        <v>-10085</v>
      </c>
      <c r="N873" s="3175" t="s">
        <v>4187</v>
      </c>
      <c r="O873" s="3176">
        <v>26.98</v>
      </c>
      <c r="P873" s="3176">
        <v>8.49</v>
      </c>
    </row>
    <row r="874" spans="1:16" ht="15" thickBot="1">
      <c r="A874" s="3174">
        <v>872</v>
      </c>
      <c r="B874" s="3175" t="s">
        <v>4308</v>
      </c>
      <c r="C874" s="3176">
        <v>89.57</v>
      </c>
      <c r="D874" s="3176">
        <v>28.2</v>
      </c>
      <c r="F874" s="3177">
        <v>872</v>
      </c>
      <c r="G874" s="3175" t="s">
        <v>4288</v>
      </c>
      <c r="H874" s="3178">
        <v>-3021</v>
      </c>
      <c r="I874" s="3179">
        <v>11.13</v>
      </c>
      <c r="J874" s="3179">
        <v>3.5</v>
      </c>
      <c r="L874" s="3177">
        <v>872</v>
      </c>
      <c r="M874" s="3175">
        <v>-10086</v>
      </c>
      <c r="N874" s="3175" t="s">
        <v>4187</v>
      </c>
      <c r="O874" s="3176">
        <v>26.98</v>
      </c>
      <c r="P874" s="3176">
        <v>8.49</v>
      </c>
    </row>
    <row r="875" spans="1:16" ht="15" thickBot="1">
      <c r="A875" s="3174">
        <v>873</v>
      </c>
      <c r="B875" s="3175" t="s">
        <v>4309</v>
      </c>
      <c r="C875" s="3176">
        <v>113.46</v>
      </c>
      <c r="D875" s="3176">
        <v>35.72</v>
      </c>
      <c r="F875" s="3177">
        <v>873</v>
      </c>
      <c r="G875" s="3175" t="s">
        <v>4288</v>
      </c>
      <c r="H875" s="3178">
        <v>-3022</v>
      </c>
      <c r="I875" s="3179">
        <v>8.83</v>
      </c>
      <c r="J875" s="3179">
        <v>2.78</v>
      </c>
      <c r="L875" s="3177">
        <v>873</v>
      </c>
      <c r="M875" s="3175">
        <v>-10087</v>
      </c>
      <c r="N875" s="3175" t="s">
        <v>4187</v>
      </c>
      <c r="O875" s="3176">
        <v>26.98</v>
      </c>
      <c r="P875" s="3176">
        <v>8.49</v>
      </c>
    </row>
    <row r="876" spans="1:16" ht="15" thickBot="1">
      <c r="A876" s="3174">
        <v>874</v>
      </c>
      <c r="B876" s="3175" t="s">
        <v>4310</v>
      </c>
      <c r="C876" s="3176">
        <v>89.29</v>
      </c>
      <c r="D876" s="3176">
        <v>28.11</v>
      </c>
      <c r="F876" s="3177">
        <v>874</v>
      </c>
      <c r="G876" s="3175" t="s">
        <v>4288</v>
      </c>
      <c r="H876" s="3178">
        <v>-3023</v>
      </c>
      <c r="I876" s="3179">
        <v>8.9600000000000009</v>
      </c>
      <c r="J876" s="3179">
        <v>2.82</v>
      </c>
      <c r="L876" s="3177">
        <v>874</v>
      </c>
      <c r="M876" s="3175">
        <v>-10088</v>
      </c>
      <c r="N876" s="3175" t="s">
        <v>4187</v>
      </c>
      <c r="O876" s="3176">
        <v>26.98</v>
      </c>
      <c r="P876" s="3176">
        <v>8.49</v>
      </c>
    </row>
    <row r="877" spans="1:16" ht="15" thickBot="1">
      <c r="A877" s="3174">
        <v>875</v>
      </c>
      <c r="B877" s="3175" t="s">
        <v>4311</v>
      </c>
      <c r="C877" s="3176">
        <v>89.29</v>
      </c>
      <c r="D877" s="3176">
        <v>28.11</v>
      </c>
      <c r="F877" s="3177">
        <v>875</v>
      </c>
      <c r="G877" s="3175" t="s">
        <v>4288</v>
      </c>
      <c r="H877" s="3178">
        <v>-3024</v>
      </c>
      <c r="I877" s="3179">
        <v>8.83</v>
      </c>
      <c r="J877" s="3179">
        <v>2.78</v>
      </c>
      <c r="L877" s="3177">
        <v>875</v>
      </c>
      <c r="M877" s="3175">
        <v>-10089</v>
      </c>
      <c r="N877" s="3175" t="s">
        <v>4187</v>
      </c>
      <c r="O877" s="3176">
        <v>26.98</v>
      </c>
      <c r="P877" s="3176">
        <v>8.49</v>
      </c>
    </row>
    <row r="878" spans="1:16" ht="15" thickBot="1">
      <c r="A878" s="3174">
        <v>876</v>
      </c>
      <c r="B878" s="3175" t="s">
        <v>4312</v>
      </c>
      <c r="C878" s="3176">
        <v>89.57</v>
      </c>
      <c r="D878" s="3176">
        <v>28.2</v>
      </c>
      <c r="F878" s="3177">
        <v>876</v>
      </c>
      <c r="G878" s="3175" t="s">
        <v>4288</v>
      </c>
      <c r="H878" s="3178">
        <v>-3025</v>
      </c>
      <c r="I878" s="3179">
        <v>7.55</v>
      </c>
      <c r="J878" s="3179">
        <v>2.38</v>
      </c>
      <c r="L878" s="3177">
        <v>876</v>
      </c>
      <c r="M878" s="3175">
        <v>-10090</v>
      </c>
      <c r="N878" s="3175" t="s">
        <v>4187</v>
      </c>
      <c r="O878" s="3176">
        <v>26.98</v>
      </c>
      <c r="P878" s="3176">
        <v>8.49</v>
      </c>
    </row>
    <row r="879" spans="1:16" ht="15" thickBot="1">
      <c r="A879" s="3174">
        <v>877</v>
      </c>
      <c r="B879" s="3175" t="s">
        <v>4313</v>
      </c>
      <c r="C879" s="3176">
        <v>113.46</v>
      </c>
      <c r="D879" s="3176">
        <v>35.72</v>
      </c>
      <c r="F879" s="3177">
        <v>877</v>
      </c>
      <c r="G879" s="3175" t="s">
        <v>4288</v>
      </c>
      <c r="H879" s="3178">
        <v>-3026</v>
      </c>
      <c r="I879" s="3179">
        <v>7.33</v>
      </c>
      <c r="J879" s="3179">
        <v>2.31</v>
      </c>
      <c r="L879" s="3177">
        <v>877</v>
      </c>
      <c r="M879" s="3175">
        <v>-10091</v>
      </c>
      <c r="N879" s="3175" t="s">
        <v>4187</v>
      </c>
      <c r="O879" s="3176">
        <v>26.98</v>
      </c>
      <c r="P879" s="3176">
        <v>8.49</v>
      </c>
    </row>
    <row r="880" spans="1:16" ht="15" thickBot="1">
      <c r="A880" s="3174">
        <v>878</v>
      </c>
      <c r="B880" s="3175" t="s">
        <v>4314</v>
      </c>
      <c r="C880" s="3176">
        <v>89.29</v>
      </c>
      <c r="D880" s="3176">
        <v>28.11</v>
      </c>
      <c r="F880" s="3177">
        <v>878</v>
      </c>
      <c r="G880" s="3175" t="s">
        <v>4288</v>
      </c>
      <c r="H880" s="3178">
        <v>-3027</v>
      </c>
      <c r="I880" s="3179">
        <v>7.33</v>
      </c>
      <c r="J880" s="3179">
        <v>2.31</v>
      </c>
      <c r="L880" s="3177">
        <v>878</v>
      </c>
      <c r="M880" s="3175">
        <v>-10092</v>
      </c>
      <c r="N880" s="3175" t="s">
        <v>4187</v>
      </c>
      <c r="O880" s="3176">
        <v>26.98</v>
      </c>
      <c r="P880" s="3176">
        <v>8.49</v>
      </c>
    </row>
    <row r="881" spans="1:16" ht="15" thickBot="1">
      <c r="A881" s="3174">
        <v>879</v>
      </c>
      <c r="B881" s="3175" t="s">
        <v>4315</v>
      </c>
      <c r="C881" s="3176">
        <v>89.29</v>
      </c>
      <c r="D881" s="3176">
        <v>28.11</v>
      </c>
      <c r="F881" s="3177">
        <v>879</v>
      </c>
      <c r="G881" s="3175" t="s">
        <v>4288</v>
      </c>
      <c r="H881" s="3178">
        <v>-3028</v>
      </c>
      <c r="I881" s="3179">
        <v>7.64</v>
      </c>
      <c r="J881" s="3179">
        <v>2.41</v>
      </c>
      <c r="L881" s="3177">
        <v>879</v>
      </c>
      <c r="M881" s="3175">
        <v>-10093</v>
      </c>
      <c r="N881" s="3175" t="s">
        <v>4187</v>
      </c>
      <c r="O881" s="3176">
        <v>26.98</v>
      </c>
      <c r="P881" s="3176">
        <v>8.49</v>
      </c>
    </row>
    <row r="882" spans="1:16" ht="15" thickBot="1">
      <c r="A882" s="3174">
        <v>880</v>
      </c>
      <c r="B882" s="3175" t="s">
        <v>4316</v>
      </c>
      <c r="C882" s="3176">
        <v>89.57</v>
      </c>
      <c r="D882" s="3176">
        <v>28.2</v>
      </c>
      <c r="F882" s="3177">
        <v>880</v>
      </c>
      <c r="G882" s="3175" t="s">
        <v>4288</v>
      </c>
      <c r="H882" s="3178">
        <v>-3029</v>
      </c>
      <c r="I882" s="3179">
        <v>7.64</v>
      </c>
      <c r="J882" s="3179">
        <v>2.41</v>
      </c>
      <c r="L882" s="3177">
        <v>880</v>
      </c>
      <c r="M882" s="3175">
        <v>-10094</v>
      </c>
      <c r="N882" s="3175" t="s">
        <v>4187</v>
      </c>
      <c r="O882" s="3176">
        <v>26.98</v>
      </c>
      <c r="P882" s="3176">
        <v>8.49</v>
      </c>
    </row>
    <row r="883" spans="1:16" ht="15" thickBot="1">
      <c r="A883" s="3174">
        <v>881</v>
      </c>
      <c r="B883" s="3175" t="s">
        <v>4317</v>
      </c>
      <c r="C883" s="3176">
        <v>113.46</v>
      </c>
      <c r="D883" s="3176">
        <v>35.72</v>
      </c>
      <c r="F883" s="3177">
        <v>881</v>
      </c>
      <c r="G883" s="3175" t="s">
        <v>4288</v>
      </c>
      <c r="H883" s="3178">
        <v>-3030</v>
      </c>
      <c r="I883" s="3179">
        <v>7.33</v>
      </c>
      <c r="J883" s="3179">
        <v>2.31</v>
      </c>
      <c r="L883" s="3177">
        <v>881</v>
      </c>
      <c r="M883" s="3175">
        <v>-10095</v>
      </c>
      <c r="N883" s="3175" t="s">
        <v>4187</v>
      </c>
      <c r="O883" s="3176">
        <v>26.98</v>
      </c>
      <c r="P883" s="3176">
        <v>8.49</v>
      </c>
    </row>
    <row r="884" spans="1:16" ht="15" thickBot="1">
      <c r="A884" s="3174">
        <v>882</v>
      </c>
      <c r="B884" s="3175" t="s">
        <v>4318</v>
      </c>
      <c r="C884" s="3176">
        <v>89.29</v>
      </c>
      <c r="D884" s="3176">
        <v>28.11</v>
      </c>
      <c r="F884" s="3177">
        <v>882</v>
      </c>
      <c r="G884" s="3175" t="s">
        <v>4288</v>
      </c>
      <c r="H884" s="3178">
        <v>-3031</v>
      </c>
      <c r="I884" s="3179">
        <v>7.33</v>
      </c>
      <c r="J884" s="3179">
        <v>2.31</v>
      </c>
      <c r="L884" s="3177">
        <v>882</v>
      </c>
      <c r="M884" s="3175">
        <v>-10096</v>
      </c>
      <c r="N884" s="3175" t="s">
        <v>4187</v>
      </c>
      <c r="O884" s="3176">
        <v>26.98</v>
      </c>
      <c r="P884" s="3176">
        <v>8.49</v>
      </c>
    </row>
    <row r="885" spans="1:16" ht="15" thickBot="1">
      <c r="A885" s="3174">
        <v>883</v>
      </c>
      <c r="B885" s="3175" t="s">
        <v>4319</v>
      </c>
      <c r="C885" s="3176">
        <v>89.29</v>
      </c>
      <c r="D885" s="3176">
        <v>28.11</v>
      </c>
      <c r="F885" s="3177">
        <v>883</v>
      </c>
      <c r="G885" s="3175" t="s">
        <v>4288</v>
      </c>
      <c r="H885" s="3178">
        <v>-3032</v>
      </c>
      <c r="I885" s="3179">
        <v>7.55</v>
      </c>
      <c r="J885" s="3179">
        <v>2.38</v>
      </c>
      <c r="L885" s="3177">
        <v>883</v>
      </c>
      <c r="M885" s="3175">
        <v>-10097</v>
      </c>
      <c r="N885" s="3175" t="s">
        <v>4187</v>
      </c>
      <c r="O885" s="3176">
        <v>26.98</v>
      </c>
      <c r="P885" s="3176">
        <v>8.49</v>
      </c>
    </row>
    <row r="886" spans="1:16" ht="15" thickBot="1">
      <c r="A886" s="3174">
        <v>884</v>
      </c>
      <c r="B886" s="3175" t="s">
        <v>4320</v>
      </c>
      <c r="C886" s="3176">
        <v>89.57</v>
      </c>
      <c r="D886" s="3176">
        <v>28.2</v>
      </c>
      <c r="F886" s="3177">
        <v>884</v>
      </c>
      <c r="G886" s="3175" t="s">
        <v>4288</v>
      </c>
      <c r="H886" s="3178">
        <v>-3033</v>
      </c>
      <c r="I886" s="3179">
        <v>8.83</v>
      </c>
      <c r="J886" s="3179">
        <v>2.78</v>
      </c>
      <c r="L886" s="3177">
        <v>884</v>
      </c>
      <c r="M886" s="3175">
        <v>-10098</v>
      </c>
      <c r="N886" s="3175" t="s">
        <v>4187</v>
      </c>
      <c r="O886" s="3176">
        <v>26.98</v>
      </c>
      <c r="P886" s="3176">
        <v>8.49</v>
      </c>
    </row>
    <row r="887" spans="1:16" ht="15" thickBot="1">
      <c r="A887" s="3174">
        <v>885</v>
      </c>
      <c r="B887" s="3175" t="s">
        <v>4321</v>
      </c>
      <c r="C887" s="3176">
        <v>113.46</v>
      </c>
      <c r="D887" s="3176">
        <v>35.72</v>
      </c>
      <c r="F887" s="3177">
        <v>885</v>
      </c>
      <c r="G887" s="3175" t="s">
        <v>4288</v>
      </c>
      <c r="H887" s="3178">
        <v>-3034</v>
      </c>
      <c r="I887" s="3179">
        <v>8.9600000000000009</v>
      </c>
      <c r="J887" s="3179">
        <v>2.82</v>
      </c>
      <c r="L887" s="3177">
        <v>885</v>
      </c>
      <c r="M887" s="3175">
        <v>-10099</v>
      </c>
      <c r="N887" s="3175" t="s">
        <v>4187</v>
      </c>
      <c r="O887" s="3176">
        <v>26.98</v>
      </c>
      <c r="P887" s="3176">
        <v>8.49</v>
      </c>
    </row>
    <row r="888" spans="1:16" ht="15" thickBot="1">
      <c r="A888" s="3174">
        <v>886</v>
      </c>
      <c r="B888" s="3175" t="s">
        <v>4322</v>
      </c>
      <c r="C888" s="3176">
        <v>89.29</v>
      </c>
      <c r="D888" s="3176">
        <v>28.11</v>
      </c>
      <c r="F888" s="3177">
        <v>886</v>
      </c>
      <c r="G888" s="3175" t="s">
        <v>4288</v>
      </c>
      <c r="H888" s="3178">
        <v>-3035</v>
      </c>
      <c r="I888" s="3179">
        <v>8.83</v>
      </c>
      <c r="J888" s="3179">
        <v>2.78</v>
      </c>
      <c r="L888" s="3177">
        <v>886</v>
      </c>
      <c r="M888" s="3175">
        <v>-10100</v>
      </c>
      <c r="N888" s="3175" t="s">
        <v>4187</v>
      </c>
      <c r="O888" s="3176">
        <v>26.98</v>
      </c>
      <c r="P888" s="3176">
        <v>8.49</v>
      </c>
    </row>
    <row r="889" spans="1:16" ht="15" thickBot="1">
      <c r="A889" s="3174">
        <v>887</v>
      </c>
      <c r="B889" s="3175" t="s">
        <v>4323</v>
      </c>
      <c r="C889" s="3176">
        <v>89.29</v>
      </c>
      <c r="D889" s="3176">
        <v>28.11</v>
      </c>
      <c r="F889" s="3177">
        <v>887</v>
      </c>
      <c r="G889" s="3175" t="s">
        <v>4288</v>
      </c>
      <c r="H889" s="3178">
        <v>-3036</v>
      </c>
      <c r="I889" s="3179">
        <v>10.87</v>
      </c>
      <c r="J889" s="3179">
        <v>3.42</v>
      </c>
      <c r="L889" s="3177">
        <v>887</v>
      </c>
      <c r="M889" s="3175">
        <v>-10101</v>
      </c>
      <c r="N889" s="3175" t="s">
        <v>4187</v>
      </c>
      <c r="O889" s="3176">
        <v>26.98</v>
      </c>
      <c r="P889" s="3176">
        <v>8.49</v>
      </c>
    </row>
    <row r="890" spans="1:16" ht="15" thickBot="1">
      <c r="A890" s="3174">
        <v>888</v>
      </c>
      <c r="B890" s="3175" t="s">
        <v>4324</v>
      </c>
      <c r="C890" s="3176">
        <v>89.57</v>
      </c>
      <c r="D890" s="3176">
        <v>28.2</v>
      </c>
      <c r="F890" s="3177">
        <v>888</v>
      </c>
      <c r="G890" s="3175" t="s">
        <v>4288</v>
      </c>
      <c r="H890" s="3178">
        <v>-3037</v>
      </c>
      <c r="I890" s="3179">
        <v>8.14</v>
      </c>
      <c r="J890" s="3179">
        <v>2.56</v>
      </c>
      <c r="L890" s="3177">
        <v>888</v>
      </c>
      <c r="M890" s="3175">
        <v>-10102</v>
      </c>
      <c r="N890" s="3175" t="s">
        <v>4187</v>
      </c>
      <c r="O890" s="3176">
        <v>26.98</v>
      </c>
      <c r="P890" s="3176">
        <v>8.49</v>
      </c>
    </row>
    <row r="891" spans="1:16" ht="15" thickBot="1">
      <c r="A891" s="3174">
        <v>889</v>
      </c>
      <c r="B891" s="3175" t="s">
        <v>4325</v>
      </c>
      <c r="C891" s="3176">
        <v>113.46</v>
      </c>
      <c r="D891" s="3176">
        <v>35.72</v>
      </c>
      <c r="F891" s="3177">
        <v>889</v>
      </c>
      <c r="G891" s="3175" t="s">
        <v>4288</v>
      </c>
      <c r="H891" s="3178">
        <v>-3038</v>
      </c>
      <c r="I891" s="3179">
        <v>8.14</v>
      </c>
      <c r="J891" s="3179">
        <v>2.56</v>
      </c>
      <c r="L891" s="3177">
        <v>889</v>
      </c>
      <c r="M891" s="3175">
        <v>-10103</v>
      </c>
      <c r="N891" s="3175" t="s">
        <v>4187</v>
      </c>
      <c r="O891" s="3176">
        <v>26.98</v>
      </c>
      <c r="P891" s="3176">
        <v>8.49</v>
      </c>
    </row>
    <row r="892" spans="1:16" ht="15" thickBot="1">
      <c r="A892" s="3174">
        <v>890</v>
      </c>
      <c r="B892" s="3175" t="s">
        <v>4326</v>
      </c>
      <c r="C892" s="3176">
        <v>89.29</v>
      </c>
      <c r="D892" s="3176">
        <v>28.11</v>
      </c>
      <c r="F892" s="3177">
        <v>890</v>
      </c>
      <c r="G892" s="3175" t="s">
        <v>4288</v>
      </c>
      <c r="H892" s="3178">
        <v>-3039</v>
      </c>
      <c r="I892" s="3179">
        <v>8.14</v>
      </c>
      <c r="J892" s="3179">
        <v>2.56</v>
      </c>
      <c r="L892" s="3177">
        <v>890</v>
      </c>
      <c r="M892" s="3175">
        <v>-10104</v>
      </c>
      <c r="N892" s="3175" t="s">
        <v>4187</v>
      </c>
      <c r="O892" s="3176">
        <v>26.98</v>
      </c>
      <c r="P892" s="3176">
        <v>8.49</v>
      </c>
    </row>
    <row r="893" spans="1:16" ht="15" thickBot="1">
      <c r="A893" s="3174">
        <v>891</v>
      </c>
      <c r="B893" s="3175" t="s">
        <v>4327</v>
      </c>
      <c r="C893" s="3176">
        <v>89.29</v>
      </c>
      <c r="D893" s="3176">
        <v>28.11</v>
      </c>
      <c r="F893" s="3177">
        <v>891</v>
      </c>
      <c r="G893" s="3175" t="s">
        <v>4288</v>
      </c>
      <c r="H893" s="3178">
        <v>-2001</v>
      </c>
      <c r="I893" s="3179">
        <v>8.58</v>
      </c>
      <c r="J893" s="3179">
        <v>2.7</v>
      </c>
      <c r="L893" s="3177">
        <v>891</v>
      </c>
      <c r="M893" s="3175">
        <v>-10105</v>
      </c>
      <c r="N893" s="3175" t="s">
        <v>4187</v>
      </c>
      <c r="O893" s="3176">
        <v>26.98</v>
      </c>
      <c r="P893" s="3176">
        <v>8.49</v>
      </c>
    </row>
    <row r="894" spans="1:16" ht="15" thickBot="1">
      <c r="A894" s="3174">
        <v>892</v>
      </c>
      <c r="B894" s="3175" t="s">
        <v>4328</v>
      </c>
      <c r="C894" s="3176">
        <v>89.57</v>
      </c>
      <c r="D894" s="3176">
        <v>28.2</v>
      </c>
      <c r="F894" s="3177">
        <v>892</v>
      </c>
      <c r="G894" s="3175" t="s">
        <v>4288</v>
      </c>
      <c r="H894" s="3178">
        <v>-2002</v>
      </c>
      <c r="I894" s="3179">
        <v>8.7200000000000006</v>
      </c>
      <c r="J894" s="3179">
        <v>2.75</v>
      </c>
      <c r="L894" s="3177">
        <v>892</v>
      </c>
      <c r="M894" s="3175">
        <v>-10106</v>
      </c>
      <c r="N894" s="3175" t="s">
        <v>4187</v>
      </c>
      <c r="O894" s="3176">
        <v>26.98</v>
      </c>
      <c r="P894" s="3176">
        <v>8.49</v>
      </c>
    </row>
    <row r="895" spans="1:16" ht="15" thickBot="1">
      <c r="A895" s="3174">
        <v>893</v>
      </c>
      <c r="B895" s="3175" t="s">
        <v>4329</v>
      </c>
      <c r="C895" s="3176">
        <v>113.46</v>
      </c>
      <c r="D895" s="3176">
        <v>35.72</v>
      </c>
      <c r="F895" s="3177">
        <v>893</v>
      </c>
      <c r="G895" s="3175" t="s">
        <v>4288</v>
      </c>
      <c r="H895" s="3178">
        <v>-2003</v>
      </c>
      <c r="I895" s="3179">
        <v>11.13</v>
      </c>
      <c r="J895" s="3179">
        <v>3.5</v>
      </c>
      <c r="L895" s="3177">
        <v>893</v>
      </c>
      <c r="M895" s="3175">
        <v>-10107</v>
      </c>
      <c r="N895" s="3175" t="s">
        <v>4187</v>
      </c>
      <c r="O895" s="3176">
        <v>26.98</v>
      </c>
      <c r="P895" s="3176">
        <v>8.49</v>
      </c>
    </row>
    <row r="896" spans="1:16" ht="15" thickBot="1">
      <c r="A896" s="3174">
        <v>894</v>
      </c>
      <c r="B896" s="3175" t="s">
        <v>4330</v>
      </c>
      <c r="C896" s="3176">
        <v>89.29</v>
      </c>
      <c r="D896" s="3176">
        <v>28.11</v>
      </c>
      <c r="F896" s="3177">
        <v>894</v>
      </c>
      <c r="G896" s="3175" t="s">
        <v>4288</v>
      </c>
      <c r="H896" s="3178">
        <v>-2004</v>
      </c>
      <c r="I896" s="3179">
        <v>15.09</v>
      </c>
      <c r="J896" s="3179">
        <v>4.75</v>
      </c>
      <c r="L896" s="3177">
        <v>894</v>
      </c>
      <c r="M896" s="3175">
        <v>-10108</v>
      </c>
      <c r="N896" s="3175" t="s">
        <v>4187</v>
      </c>
      <c r="O896" s="3176">
        <v>26.98</v>
      </c>
      <c r="P896" s="3176">
        <v>8.49</v>
      </c>
    </row>
    <row r="897" spans="1:16" ht="15" thickBot="1">
      <c r="A897" s="3174">
        <v>895</v>
      </c>
      <c r="B897" s="3175" t="s">
        <v>4331</v>
      </c>
      <c r="C897" s="3176">
        <v>89.29</v>
      </c>
      <c r="D897" s="3176">
        <v>28.11</v>
      </c>
      <c r="F897" s="3177">
        <v>895</v>
      </c>
      <c r="G897" s="3175" t="s">
        <v>4288</v>
      </c>
      <c r="H897" s="3178">
        <v>-2005</v>
      </c>
      <c r="I897" s="3179">
        <v>7.12</v>
      </c>
      <c r="J897" s="3179">
        <v>2.2400000000000002</v>
      </c>
      <c r="L897" s="3177">
        <v>895</v>
      </c>
      <c r="M897" s="3175">
        <v>-10109</v>
      </c>
      <c r="N897" s="3175" t="s">
        <v>4187</v>
      </c>
      <c r="O897" s="3176">
        <v>26.98</v>
      </c>
      <c r="P897" s="3176">
        <v>8.49</v>
      </c>
    </row>
    <row r="898" spans="1:16" ht="15" thickBot="1">
      <c r="A898" s="3174">
        <v>896</v>
      </c>
      <c r="B898" s="3175" t="s">
        <v>4332</v>
      </c>
      <c r="C898" s="3176">
        <v>89.57</v>
      </c>
      <c r="D898" s="3176">
        <v>28.2</v>
      </c>
      <c r="F898" s="3177">
        <v>896</v>
      </c>
      <c r="G898" s="3175" t="s">
        <v>4288</v>
      </c>
      <c r="H898" s="3178">
        <v>-2006</v>
      </c>
      <c r="I898" s="3179">
        <v>6.93</v>
      </c>
      <c r="J898" s="3179">
        <v>2.1800000000000002</v>
      </c>
      <c r="L898" s="3177">
        <v>896</v>
      </c>
      <c r="M898" s="3175">
        <v>-10110</v>
      </c>
      <c r="N898" s="3175" t="s">
        <v>4187</v>
      </c>
      <c r="O898" s="3176">
        <v>26.98</v>
      </c>
      <c r="P898" s="3176">
        <v>8.49</v>
      </c>
    </row>
    <row r="899" spans="1:16" ht="15" thickBot="1">
      <c r="A899" s="3174">
        <v>897</v>
      </c>
      <c r="B899" s="3175" t="s">
        <v>4333</v>
      </c>
      <c r="C899" s="3176">
        <v>113.46</v>
      </c>
      <c r="D899" s="3176">
        <v>35.72</v>
      </c>
      <c r="F899" s="3177">
        <v>897</v>
      </c>
      <c r="G899" s="3175" t="s">
        <v>4288</v>
      </c>
      <c r="H899" s="3178">
        <v>-2007</v>
      </c>
      <c r="I899" s="3179">
        <v>8.58</v>
      </c>
      <c r="J899" s="3179">
        <v>2.7</v>
      </c>
      <c r="L899" s="3177">
        <v>897</v>
      </c>
      <c r="M899" s="3175">
        <v>-10111</v>
      </c>
      <c r="N899" s="3175" t="s">
        <v>4187</v>
      </c>
      <c r="O899" s="3176">
        <v>26.98</v>
      </c>
      <c r="P899" s="3176">
        <v>8.49</v>
      </c>
    </row>
    <row r="900" spans="1:16" ht="15" thickBot="1">
      <c r="A900" s="3174">
        <v>898</v>
      </c>
      <c r="B900" s="3175" t="s">
        <v>4334</v>
      </c>
      <c r="C900" s="3176">
        <v>89.29</v>
      </c>
      <c r="D900" s="3176">
        <v>28.11</v>
      </c>
      <c r="F900" s="3177">
        <v>898</v>
      </c>
      <c r="G900" s="3175" t="s">
        <v>4288</v>
      </c>
      <c r="H900" s="3178">
        <v>-2008</v>
      </c>
      <c r="I900" s="3179">
        <v>9.74</v>
      </c>
      <c r="J900" s="3179">
        <v>3.07</v>
      </c>
      <c r="L900" s="3177">
        <v>898</v>
      </c>
      <c r="M900" s="3175">
        <v>-10112</v>
      </c>
      <c r="N900" s="3175" t="s">
        <v>4187</v>
      </c>
      <c r="O900" s="3176">
        <v>26.98</v>
      </c>
      <c r="P900" s="3176">
        <v>8.49</v>
      </c>
    </row>
    <row r="901" spans="1:16" ht="15" thickBot="1">
      <c r="A901" s="3174">
        <v>899</v>
      </c>
      <c r="B901" s="3175" t="s">
        <v>4335</v>
      </c>
      <c r="C901" s="3176">
        <v>89.29</v>
      </c>
      <c r="D901" s="3176">
        <v>28.11</v>
      </c>
      <c r="F901" s="3177">
        <v>899</v>
      </c>
      <c r="G901" s="3175" t="s">
        <v>4288</v>
      </c>
      <c r="H901" s="3178">
        <v>-2009</v>
      </c>
      <c r="I901" s="3179">
        <v>9.36</v>
      </c>
      <c r="J901" s="3179">
        <v>2.95</v>
      </c>
      <c r="L901" s="3177">
        <v>899</v>
      </c>
      <c r="M901" s="3175">
        <v>-10113</v>
      </c>
      <c r="N901" s="3175" t="s">
        <v>4187</v>
      </c>
      <c r="O901" s="3176">
        <v>26.98</v>
      </c>
      <c r="P901" s="3176">
        <v>8.49</v>
      </c>
    </row>
    <row r="902" spans="1:16" ht="15" thickBot="1">
      <c r="A902" s="3174">
        <v>900</v>
      </c>
      <c r="B902" s="3175" t="s">
        <v>4336</v>
      </c>
      <c r="C902" s="3176">
        <v>89.57</v>
      </c>
      <c r="D902" s="3176">
        <v>28.2</v>
      </c>
      <c r="F902" s="3177">
        <v>900</v>
      </c>
      <c r="G902" s="3175" t="s">
        <v>4288</v>
      </c>
      <c r="H902" s="3178">
        <v>-2010</v>
      </c>
      <c r="I902" s="3179">
        <v>10.98</v>
      </c>
      <c r="J902" s="3179">
        <v>3.46</v>
      </c>
      <c r="L902" s="3177">
        <v>900</v>
      </c>
      <c r="M902" s="3175">
        <v>-10114</v>
      </c>
      <c r="N902" s="3175" t="s">
        <v>4187</v>
      </c>
      <c r="O902" s="3176">
        <v>26.98</v>
      </c>
      <c r="P902" s="3176">
        <v>8.49</v>
      </c>
    </row>
    <row r="903" spans="1:16" ht="15" thickBot="1">
      <c r="A903" s="3174">
        <v>901</v>
      </c>
      <c r="B903" s="3175" t="s">
        <v>4337</v>
      </c>
      <c r="C903" s="3176">
        <v>113.46</v>
      </c>
      <c r="D903" s="3176">
        <v>35.72</v>
      </c>
      <c r="F903" s="3177">
        <v>901</v>
      </c>
      <c r="G903" s="3175" t="s">
        <v>4288</v>
      </c>
      <c r="H903" s="3178">
        <v>-2011</v>
      </c>
      <c r="I903" s="3179">
        <v>11.29</v>
      </c>
      <c r="J903" s="3179">
        <v>3.55</v>
      </c>
      <c r="L903" s="3177">
        <v>901</v>
      </c>
      <c r="M903" s="3175">
        <v>-10115</v>
      </c>
      <c r="N903" s="3175" t="s">
        <v>4187</v>
      </c>
      <c r="O903" s="3176">
        <v>26.98</v>
      </c>
      <c r="P903" s="3176">
        <v>8.49</v>
      </c>
    </row>
    <row r="904" spans="1:16" ht="15" thickBot="1">
      <c r="A904" s="3174">
        <v>902</v>
      </c>
      <c r="B904" s="3175" t="s">
        <v>4338</v>
      </c>
      <c r="C904" s="3176">
        <v>89.29</v>
      </c>
      <c r="D904" s="3176">
        <v>28.11</v>
      </c>
      <c r="F904" s="3177">
        <v>902</v>
      </c>
      <c r="G904" s="3175" t="s">
        <v>4288</v>
      </c>
      <c r="H904" s="3178">
        <v>-2012</v>
      </c>
      <c r="I904" s="3179">
        <v>10.65</v>
      </c>
      <c r="J904" s="3179">
        <v>3.35</v>
      </c>
      <c r="L904" s="3177">
        <v>902</v>
      </c>
      <c r="M904" s="3175">
        <v>-10116</v>
      </c>
      <c r="N904" s="3175" t="s">
        <v>4187</v>
      </c>
      <c r="O904" s="3176">
        <v>26.98</v>
      </c>
      <c r="P904" s="3176">
        <v>8.49</v>
      </c>
    </row>
    <row r="905" spans="1:16" ht="15" thickBot="1">
      <c r="A905" s="3174">
        <v>903</v>
      </c>
      <c r="B905" s="3175" t="s">
        <v>4339</v>
      </c>
      <c r="C905" s="3176">
        <v>89.29</v>
      </c>
      <c r="D905" s="3176">
        <v>28.11</v>
      </c>
      <c r="F905" s="3177">
        <v>903</v>
      </c>
      <c r="G905" s="3175" t="s">
        <v>4288</v>
      </c>
      <c r="H905" s="3178">
        <v>-2013</v>
      </c>
      <c r="I905" s="3179">
        <v>10.65</v>
      </c>
      <c r="J905" s="3179">
        <v>3.35</v>
      </c>
      <c r="L905" s="3177">
        <v>903</v>
      </c>
      <c r="M905" s="3175">
        <v>-10117</v>
      </c>
      <c r="N905" s="3175" t="s">
        <v>4187</v>
      </c>
      <c r="O905" s="3176">
        <v>26.98</v>
      </c>
      <c r="P905" s="3176">
        <v>8.49</v>
      </c>
    </row>
    <row r="906" spans="1:16" ht="15" thickBot="1">
      <c r="A906" s="3174">
        <v>904</v>
      </c>
      <c r="B906" s="3175" t="s">
        <v>4340</v>
      </c>
      <c r="C906" s="3176">
        <v>89.57</v>
      </c>
      <c r="D906" s="3176">
        <v>28.2</v>
      </c>
      <c r="F906" s="3177">
        <v>904</v>
      </c>
      <c r="G906" s="3175" t="s">
        <v>4288</v>
      </c>
      <c r="H906" s="3178">
        <v>-2014</v>
      </c>
      <c r="I906" s="3179">
        <v>7.23</v>
      </c>
      <c r="J906" s="3179">
        <v>2.2799999999999998</v>
      </c>
      <c r="L906" s="3177">
        <v>904</v>
      </c>
      <c r="M906" s="3175">
        <v>-10118</v>
      </c>
      <c r="N906" s="3175" t="s">
        <v>4187</v>
      </c>
      <c r="O906" s="3176">
        <v>26.98</v>
      </c>
      <c r="P906" s="3176">
        <v>8.49</v>
      </c>
    </row>
    <row r="907" spans="1:16" ht="15" thickBot="1">
      <c r="A907" s="3174">
        <v>905</v>
      </c>
      <c r="B907" s="3175" t="s">
        <v>4341</v>
      </c>
      <c r="C907" s="3176">
        <v>113.46</v>
      </c>
      <c r="D907" s="3176">
        <v>35.72</v>
      </c>
      <c r="F907" s="3177">
        <v>905</v>
      </c>
      <c r="G907" s="3175" t="s">
        <v>4288</v>
      </c>
      <c r="H907" s="3178">
        <v>-2015</v>
      </c>
      <c r="I907" s="3179">
        <v>8.57</v>
      </c>
      <c r="J907" s="3179">
        <v>2.7</v>
      </c>
      <c r="L907" s="3177">
        <v>905</v>
      </c>
      <c r="M907" s="3175">
        <v>-10119</v>
      </c>
      <c r="N907" s="3175" t="s">
        <v>4187</v>
      </c>
      <c r="O907" s="3176">
        <v>26.98</v>
      </c>
      <c r="P907" s="3176">
        <v>8.49</v>
      </c>
    </row>
    <row r="908" spans="1:16" ht="15" thickBot="1">
      <c r="A908" s="3174">
        <v>906</v>
      </c>
      <c r="B908" s="3175" t="s">
        <v>4342</v>
      </c>
      <c r="C908" s="3176">
        <v>89.29</v>
      </c>
      <c r="D908" s="3176">
        <v>28.11</v>
      </c>
      <c r="F908" s="3177">
        <v>906</v>
      </c>
      <c r="G908" s="3175" t="s">
        <v>4288</v>
      </c>
      <c r="H908" s="3178">
        <v>-2016</v>
      </c>
      <c r="I908" s="3179">
        <v>8.7100000000000009</v>
      </c>
      <c r="J908" s="3179">
        <v>2.74</v>
      </c>
      <c r="L908" s="3177">
        <v>906</v>
      </c>
      <c r="M908" s="3175">
        <v>-10120</v>
      </c>
      <c r="N908" s="3175" t="s">
        <v>4187</v>
      </c>
      <c r="O908" s="3176">
        <v>26.98</v>
      </c>
      <c r="P908" s="3176">
        <v>8.49</v>
      </c>
    </row>
    <row r="909" spans="1:16" ht="15" thickBot="1">
      <c r="A909" s="3174">
        <v>907</v>
      </c>
      <c r="B909" s="3175" t="s">
        <v>4343</v>
      </c>
      <c r="C909" s="3176">
        <v>89.29</v>
      </c>
      <c r="D909" s="3176">
        <v>28.11</v>
      </c>
      <c r="F909" s="3177">
        <v>907</v>
      </c>
      <c r="G909" s="3175" t="s">
        <v>4288</v>
      </c>
      <c r="H909" s="3178">
        <v>-2017</v>
      </c>
      <c r="I909" s="3179">
        <v>9.58</v>
      </c>
      <c r="J909" s="3179">
        <v>3.02</v>
      </c>
      <c r="L909" s="3177">
        <v>907</v>
      </c>
      <c r="M909" s="3175">
        <v>-10121</v>
      </c>
      <c r="N909" s="3175" t="s">
        <v>4187</v>
      </c>
      <c r="O909" s="3176">
        <v>26.98</v>
      </c>
      <c r="P909" s="3176">
        <v>8.49</v>
      </c>
    </row>
    <row r="910" spans="1:16" ht="15" thickBot="1">
      <c r="A910" s="3174">
        <v>908</v>
      </c>
      <c r="B910" s="3175" t="s">
        <v>4344</v>
      </c>
      <c r="C910" s="3176">
        <v>89.57</v>
      </c>
      <c r="D910" s="3176">
        <v>28.2</v>
      </c>
      <c r="F910" s="3177">
        <v>908</v>
      </c>
      <c r="G910" s="3175" t="s">
        <v>4288</v>
      </c>
      <c r="H910" s="3178">
        <v>-2018</v>
      </c>
      <c r="I910" s="3179">
        <v>9.58</v>
      </c>
      <c r="J910" s="3179">
        <v>3.02</v>
      </c>
      <c r="L910" s="3177">
        <v>908</v>
      </c>
      <c r="M910" s="3175">
        <v>-10122</v>
      </c>
      <c r="N910" s="3175" t="s">
        <v>4187</v>
      </c>
      <c r="O910" s="3176">
        <v>26.98</v>
      </c>
      <c r="P910" s="3176">
        <v>8.49</v>
      </c>
    </row>
    <row r="911" spans="1:16" ht="15" thickBot="1">
      <c r="A911" s="3174">
        <v>909</v>
      </c>
      <c r="B911" s="3175" t="s">
        <v>4345</v>
      </c>
      <c r="C911" s="3176">
        <v>113.46</v>
      </c>
      <c r="D911" s="3176">
        <v>35.72</v>
      </c>
      <c r="F911" s="3177">
        <v>909</v>
      </c>
      <c r="G911" s="3175" t="s">
        <v>4288</v>
      </c>
      <c r="H911" s="3178">
        <v>-2019</v>
      </c>
      <c r="I911" s="3179">
        <v>9.8800000000000008</v>
      </c>
      <c r="J911" s="3179">
        <v>3.11</v>
      </c>
      <c r="L911" s="3177">
        <v>909</v>
      </c>
      <c r="M911" s="3175">
        <v>-10123</v>
      </c>
      <c r="N911" s="3175" t="s">
        <v>4187</v>
      </c>
      <c r="O911" s="3176">
        <v>26.98</v>
      </c>
      <c r="P911" s="3176">
        <v>8.49</v>
      </c>
    </row>
    <row r="912" spans="1:16" ht="15" thickBot="1">
      <c r="A912" s="3174">
        <v>910</v>
      </c>
      <c r="B912" s="3175" t="s">
        <v>4346</v>
      </c>
      <c r="C912" s="3176">
        <v>89.29</v>
      </c>
      <c r="D912" s="3176">
        <v>28.11</v>
      </c>
      <c r="F912" s="3177">
        <v>910</v>
      </c>
      <c r="G912" s="3175" t="s">
        <v>4288</v>
      </c>
      <c r="H912" s="3178">
        <v>-2020</v>
      </c>
      <c r="I912" s="3179">
        <v>11.61</v>
      </c>
      <c r="J912" s="3179">
        <v>3.66</v>
      </c>
      <c r="L912" s="3177">
        <v>910</v>
      </c>
      <c r="M912" s="3175">
        <v>-10124</v>
      </c>
      <c r="N912" s="3175" t="s">
        <v>4187</v>
      </c>
      <c r="O912" s="3176">
        <v>26.98</v>
      </c>
      <c r="P912" s="3176">
        <v>8.49</v>
      </c>
    </row>
    <row r="913" spans="1:16" ht="15" thickBot="1">
      <c r="A913" s="3174">
        <v>911</v>
      </c>
      <c r="B913" s="3175" t="s">
        <v>4347</v>
      </c>
      <c r="C913" s="3176">
        <v>89.29</v>
      </c>
      <c r="D913" s="3176">
        <v>28.11</v>
      </c>
      <c r="F913" s="3177">
        <v>911</v>
      </c>
      <c r="G913" s="3175" t="s">
        <v>4288</v>
      </c>
      <c r="H913" s="3178">
        <v>-2021</v>
      </c>
      <c r="I913" s="3179">
        <v>10.98</v>
      </c>
      <c r="J913" s="3179">
        <v>3.46</v>
      </c>
      <c r="L913" s="3177">
        <v>911</v>
      </c>
      <c r="M913" s="3175">
        <v>-10125</v>
      </c>
      <c r="N913" s="3175" t="s">
        <v>4187</v>
      </c>
      <c r="O913" s="3176">
        <v>26.98</v>
      </c>
      <c r="P913" s="3176">
        <v>8.49</v>
      </c>
    </row>
    <row r="914" spans="1:16" ht="15" thickBot="1">
      <c r="A914" s="3174">
        <v>912</v>
      </c>
      <c r="B914" s="3175" t="s">
        <v>4348</v>
      </c>
      <c r="C914" s="3176">
        <v>89.57</v>
      </c>
      <c r="D914" s="3176">
        <v>28.2</v>
      </c>
      <c r="F914" s="3177">
        <v>912</v>
      </c>
      <c r="G914" s="3175" t="s">
        <v>4288</v>
      </c>
      <c r="H914" s="3178">
        <v>-2022</v>
      </c>
      <c r="I914" s="3179">
        <v>10.58</v>
      </c>
      <c r="J914" s="3179">
        <v>3.33</v>
      </c>
      <c r="L914" s="3177">
        <v>912</v>
      </c>
      <c r="M914" s="3175">
        <v>-10126</v>
      </c>
      <c r="N914" s="3175" t="s">
        <v>4187</v>
      </c>
      <c r="O914" s="3176">
        <v>26.98</v>
      </c>
      <c r="P914" s="3176">
        <v>8.49</v>
      </c>
    </row>
    <row r="915" spans="1:16" ht="15" thickBot="1">
      <c r="A915" s="3174">
        <v>913</v>
      </c>
      <c r="B915" s="3175" t="s">
        <v>4349</v>
      </c>
      <c r="C915" s="3176">
        <v>113.47</v>
      </c>
      <c r="D915" s="3176">
        <v>35.72</v>
      </c>
      <c r="F915" s="3177">
        <v>913</v>
      </c>
      <c r="G915" s="3175" t="s">
        <v>4288</v>
      </c>
      <c r="H915" s="3178">
        <v>-2023</v>
      </c>
      <c r="I915" s="3179">
        <v>10.58</v>
      </c>
      <c r="J915" s="3179">
        <v>3.33</v>
      </c>
      <c r="L915" s="3177">
        <v>913</v>
      </c>
      <c r="M915" s="3175">
        <v>-10127</v>
      </c>
      <c r="N915" s="3175" t="s">
        <v>4187</v>
      </c>
      <c r="O915" s="3176">
        <v>26.98</v>
      </c>
      <c r="P915" s="3176">
        <v>8.49</v>
      </c>
    </row>
    <row r="916" spans="1:16" ht="15" thickBot="1">
      <c r="A916" s="3174">
        <v>914</v>
      </c>
      <c r="B916" s="3175" t="s">
        <v>4350</v>
      </c>
      <c r="C916" s="3176">
        <v>89.29</v>
      </c>
      <c r="D916" s="3176">
        <v>28.11</v>
      </c>
      <c r="F916" s="3177">
        <v>914</v>
      </c>
      <c r="G916" s="3175" t="s">
        <v>4288</v>
      </c>
      <c r="H916" s="3178">
        <v>-2024</v>
      </c>
      <c r="I916" s="3179">
        <v>10.58</v>
      </c>
      <c r="J916" s="3179">
        <v>3.33</v>
      </c>
      <c r="L916" s="3177">
        <v>914</v>
      </c>
      <c r="M916" s="3175">
        <v>-10128</v>
      </c>
      <c r="N916" s="3175" t="s">
        <v>4187</v>
      </c>
      <c r="O916" s="3176">
        <v>26.98</v>
      </c>
      <c r="P916" s="3176">
        <v>8.49</v>
      </c>
    </row>
    <row r="917" spans="1:16" ht="15" thickBot="1">
      <c r="A917" s="3174">
        <v>915</v>
      </c>
      <c r="B917" s="3175" t="s">
        <v>4351</v>
      </c>
      <c r="C917" s="3176">
        <v>89.29</v>
      </c>
      <c r="D917" s="3176">
        <v>28.11</v>
      </c>
      <c r="F917" s="3177">
        <v>915</v>
      </c>
      <c r="G917" s="3175" t="s">
        <v>4288</v>
      </c>
      <c r="H917" s="3178">
        <v>-2025</v>
      </c>
      <c r="I917" s="3179">
        <v>7.69</v>
      </c>
      <c r="J917" s="3179">
        <v>2.42</v>
      </c>
      <c r="L917" s="3177">
        <v>915</v>
      </c>
      <c r="M917" s="3175">
        <v>-10129</v>
      </c>
      <c r="N917" s="3175" t="s">
        <v>4187</v>
      </c>
      <c r="O917" s="3176">
        <v>26.98</v>
      </c>
      <c r="P917" s="3176">
        <v>8.49</v>
      </c>
    </row>
    <row r="918" spans="1:16" ht="15" thickBot="1">
      <c r="A918" s="3174">
        <v>916</v>
      </c>
      <c r="B918" s="3175" t="s">
        <v>4352</v>
      </c>
      <c r="C918" s="3176">
        <v>89.58</v>
      </c>
      <c r="D918" s="3176">
        <v>28.2</v>
      </c>
      <c r="F918" s="3177">
        <v>916</v>
      </c>
      <c r="G918" s="3175" t="s">
        <v>4288</v>
      </c>
      <c r="H918" s="3178">
        <v>-2026</v>
      </c>
      <c r="I918" s="3179">
        <v>10.58</v>
      </c>
      <c r="J918" s="3179">
        <v>3.33</v>
      </c>
      <c r="L918" s="3177">
        <v>916</v>
      </c>
      <c r="M918" s="3175">
        <v>-10130</v>
      </c>
      <c r="N918" s="3175" t="s">
        <v>4187</v>
      </c>
      <c r="O918" s="3176">
        <v>26.98</v>
      </c>
      <c r="P918" s="3176">
        <v>8.49</v>
      </c>
    </row>
    <row r="919" spans="1:16" ht="15" thickBot="1">
      <c r="A919" s="3174">
        <v>917</v>
      </c>
      <c r="B919" s="3175" t="s">
        <v>4353</v>
      </c>
      <c r="C919" s="3176">
        <v>113.47</v>
      </c>
      <c r="D919" s="3176">
        <v>35.72</v>
      </c>
      <c r="F919" s="3177">
        <v>917</v>
      </c>
      <c r="G919" s="3175" t="s">
        <v>4288</v>
      </c>
      <c r="H919" s="3178">
        <v>-2027</v>
      </c>
      <c r="I919" s="3179">
        <v>10.58</v>
      </c>
      <c r="J919" s="3179">
        <v>3.33</v>
      </c>
      <c r="L919" s="3177">
        <v>917</v>
      </c>
      <c r="M919" s="3175">
        <v>-10131</v>
      </c>
      <c r="N919" s="3175" t="s">
        <v>4187</v>
      </c>
      <c r="O919" s="3176">
        <v>26.98</v>
      </c>
      <c r="P919" s="3176">
        <v>8.49</v>
      </c>
    </row>
    <row r="920" spans="1:16" ht="15" thickBot="1">
      <c r="A920" s="3174">
        <v>918</v>
      </c>
      <c r="B920" s="3175" t="s">
        <v>4354</v>
      </c>
      <c r="C920" s="3176">
        <v>89.29</v>
      </c>
      <c r="D920" s="3176">
        <v>28.11</v>
      </c>
      <c r="F920" s="3177">
        <v>918</v>
      </c>
      <c r="G920" s="3175" t="s">
        <v>4288</v>
      </c>
      <c r="H920" s="3178">
        <v>-2028</v>
      </c>
      <c r="I920" s="3179">
        <v>10.98</v>
      </c>
      <c r="J920" s="3179">
        <v>3.46</v>
      </c>
      <c r="L920" s="3177">
        <v>918</v>
      </c>
      <c r="M920" s="3175">
        <v>-10132</v>
      </c>
      <c r="N920" s="3175" t="s">
        <v>4187</v>
      </c>
      <c r="O920" s="3176">
        <v>26.98</v>
      </c>
      <c r="P920" s="3176">
        <v>8.49</v>
      </c>
    </row>
    <row r="921" spans="1:16" ht="15" thickBot="1">
      <c r="A921" s="3174">
        <v>919</v>
      </c>
      <c r="B921" s="3175" t="s">
        <v>4355</v>
      </c>
      <c r="C921" s="3176">
        <v>89.29</v>
      </c>
      <c r="D921" s="3176">
        <v>28.11</v>
      </c>
      <c r="F921" s="3177">
        <v>919</v>
      </c>
      <c r="G921" s="3175" t="s">
        <v>4288</v>
      </c>
      <c r="H921" s="3178">
        <v>-2029</v>
      </c>
      <c r="I921" s="3179">
        <v>11.61</v>
      </c>
      <c r="J921" s="3179">
        <v>3.66</v>
      </c>
      <c r="L921" s="3177">
        <v>919</v>
      </c>
      <c r="M921" s="3175">
        <v>-10133</v>
      </c>
      <c r="N921" s="3175" t="s">
        <v>4187</v>
      </c>
      <c r="O921" s="3176">
        <v>26.98</v>
      </c>
      <c r="P921" s="3176">
        <v>8.49</v>
      </c>
    </row>
    <row r="922" spans="1:16" ht="15" thickBot="1">
      <c r="A922" s="3174">
        <v>920</v>
      </c>
      <c r="B922" s="3175" t="s">
        <v>4356</v>
      </c>
      <c r="C922" s="3176">
        <v>89.58</v>
      </c>
      <c r="D922" s="3176">
        <v>28.2</v>
      </c>
      <c r="F922" s="3177">
        <v>920</v>
      </c>
      <c r="G922" s="3175" t="s">
        <v>4288</v>
      </c>
      <c r="H922" s="3178">
        <v>-2030</v>
      </c>
      <c r="I922" s="3179">
        <v>9.8800000000000008</v>
      </c>
      <c r="J922" s="3179">
        <v>3.11</v>
      </c>
      <c r="L922" s="3177">
        <v>920</v>
      </c>
      <c r="M922" s="3175">
        <v>-10134</v>
      </c>
      <c r="N922" s="3175" t="s">
        <v>4187</v>
      </c>
      <c r="O922" s="3176">
        <v>26.98</v>
      </c>
      <c r="P922" s="3176">
        <v>8.49</v>
      </c>
    </row>
    <row r="923" spans="1:16" ht="15" thickBot="1">
      <c r="A923" s="3174">
        <v>921</v>
      </c>
      <c r="B923" s="3175" t="s">
        <v>4357</v>
      </c>
      <c r="C923" s="3176">
        <v>113.47</v>
      </c>
      <c r="D923" s="3176">
        <v>35.72</v>
      </c>
      <c r="F923" s="3177">
        <v>921</v>
      </c>
      <c r="G923" s="3175" t="s">
        <v>4288</v>
      </c>
      <c r="H923" s="3178">
        <v>-2031</v>
      </c>
      <c r="I923" s="3179">
        <v>8.7100000000000009</v>
      </c>
      <c r="J923" s="3179">
        <v>2.74</v>
      </c>
      <c r="L923" s="3177">
        <v>921</v>
      </c>
      <c r="M923" s="3175">
        <v>-10135</v>
      </c>
      <c r="N923" s="3175" t="s">
        <v>4187</v>
      </c>
      <c r="O923" s="3176">
        <v>26.98</v>
      </c>
      <c r="P923" s="3176">
        <v>8.49</v>
      </c>
    </row>
    <row r="924" spans="1:16" ht="15" thickBot="1">
      <c r="A924" s="3174">
        <v>922</v>
      </c>
      <c r="B924" s="3175" t="s">
        <v>4358</v>
      </c>
      <c r="C924" s="3176">
        <v>89.29</v>
      </c>
      <c r="D924" s="3176">
        <v>28.11</v>
      </c>
      <c r="F924" s="3177">
        <v>922</v>
      </c>
      <c r="G924" s="3175" t="s">
        <v>4288</v>
      </c>
      <c r="H924" s="3178">
        <v>-2032</v>
      </c>
      <c r="I924" s="3179">
        <v>8.7200000000000006</v>
      </c>
      <c r="J924" s="3179">
        <v>2.75</v>
      </c>
      <c r="L924" s="3177">
        <v>922</v>
      </c>
      <c r="M924" s="3175">
        <v>-10136</v>
      </c>
      <c r="N924" s="3175" t="s">
        <v>4187</v>
      </c>
      <c r="O924" s="3176">
        <v>26.98</v>
      </c>
      <c r="P924" s="3176">
        <v>8.49</v>
      </c>
    </row>
    <row r="925" spans="1:16" ht="15" thickBot="1">
      <c r="A925" s="3174">
        <v>923</v>
      </c>
      <c r="B925" s="3175" t="s">
        <v>4359</v>
      </c>
      <c r="C925" s="3176">
        <v>89.29</v>
      </c>
      <c r="D925" s="3176">
        <v>28.11</v>
      </c>
      <c r="F925" s="3177">
        <v>923</v>
      </c>
      <c r="G925" s="3175" t="s">
        <v>4288</v>
      </c>
      <c r="H925" s="3178">
        <v>-2033</v>
      </c>
      <c r="I925" s="3179">
        <v>8.58</v>
      </c>
      <c r="J925" s="3179">
        <v>2.7</v>
      </c>
      <c r="L925" s="3177">
        <v>923</v>
      </c>
      <c r="M925" s="3175">
        <v>-10137</v>
      </c>
      <c r="N925" s="3175" t="s">
        <v>4187</v>
      </c>
      <c r="O925" s="3176">
        <v>26.98</v>
      </c>
      <c r="P925" s="3176">
        <v>8.49</v>
      </c>
    </row>
    <row r="926" spans="1:16" ht="15" thickBot="1">
      <c r="A926" s="3174">
        <v>924</v>
      </c>
      <c r="B926" s="3175" t="s">
        <v>4360</v>
      </c>
      <c r="C926" s="3176">
        <v>89.58</v>
      </c>
      <c r="D926" s="3176">
        <v>28.2</v>
      </c>
      <c r="F926" s="3177">
        <v>924</v>
      </c>
      <c r="G926" s="3175" t="s">
        <v>4288</v>
      </c>
      <c r="H926" s="3178">
        <v>-2034</v>
      </c>
      <c r="I926" s="3179">
        <v>11.13</v>
      </c>
      <c r="J926" s="3179">
        <v>3.5</v>
      </c>
      <c r="L926" s="3177">
        <v>924</v>
      </c>
      <c r="M926" s="3175">
        <v>-10138</v>
      </c>
      <c r="N926" s="3175" t="s">
        <v>4187</v>
      </c>
      <c r="O926" s="3176">
        <v>26.98</v>
      </c>
      <c r="P926" s="3176">
        <v>8.49</v>
      </c>
    </row>
    <row r="927" spans="1:16" ht="15" thickBot="1">
      <c r="A927" s="3174">
        <v>925</v>
      </c>
      <c r="B927" s="3175" t="s">
        <v>4361</v>
      </c>
      <c r="C927" s="3176">
        <v>113.47</v>
      </c>
      <c r="D927" s="3176">
        <v>35.72</v>
      </c>
      <c r="F927" s="3177">
        <v>925</v>
      </c>
      <c r="G927" s="3175" t="s">
        <v>4288</v>
      </c>
      <c r="H927" s="3178">
        <v>-2035</v>
      </c>
      <c r="I927" s="3179">
        <v>15.09</v>
      </c>
      <c r="J927" s="3179">
        <v>4.75</v>
      </c>
      <c r="L927" s="3177">
        <v>925</v>
      </c>
      <c r="M927" s="3175">
        <v>-10139</v>
      </c>
      <c r="N927" s="3175" t="s">
        <v>4187</v>
      </c>
      <c r="O927" s="3176">
        <v>26.98</v>
      </c>
      <c r="P927" s="3176">
        <v>8.49</v>
      </c>
    </row>
    <row r="928" spans="1:16" ht="15" thickBot="1">
      <c r="A928" s="3174">
        <v>926</v>
      </c>
      <c r="B928" s="3175" t="s">
        <v>4362</v>
      </c>
      <c r="C928" s="3176">
        <v>89.29</v>
      </c>
      <c r="D928" s="3176">
        <v>28.11</v>
      </c>
      <c r="F928" s="3177">
        <v>926</v>
      </c>
      <c r="G928" s="3175" t="s">
        <v>4288</v>
      </c>
      <c r="H928" s="3178">
        <v>-2036</v>
      </c>
      <c r="I928" s="3179">
        <v>7.12</v>
      </c>
      <c r="J928" s="3179">
        <v>2.2400000000000002</v>
      </c>
      <c r="L928" s="3177">
        <v>926</v>
      </c>
      <c r="M928" s="3175">
        <v>-10140</v>
      </c>
      <c r="N928" s="3175" t="s">
        <v>4187</v>
      </c>
      <c r="O928" s="3176">
        <v>26.98</v>
      </c>
      <c r="P928" s="3176">
        <v>8.49</v>
      </c>
    </row>
    <row r="929" spans="1:16" ht="15" thickBot="1">
      <c r="A929" s="3174">
        <v>927</v>
      </c>
      <c r="B929" s="3175" t="s">
        <v>4363</v>
      </c>
      <c r="C929" s="3176">
        <v>89.29</v>
      </c>
      <c r="D929" s="3176">
        <v>28.11</v>
      </c>
      <c r="F929" s="3177">
        <v>927</v>
      </c>
      <c r="G929" s="3175" t="s">
        <v>4288</v>
      </c>
      <c r="H929" s="3178">
        <v>-2037</v>
      </c>
      <c r="I929" s="3179">
        <v>6.93</v>
      </c>
      <c r="J929" s="3179">
        <v>2.1800000000000002</v>
      </c>
      <c r="L929" s="3177">
        <v>927</v>
      </c>
      <c r="M929" s="3175">
        <v>-10141</v>
      </c>
      <c r="N929" s="3175" t="s">
        <v>4187</v>
      </c>
      <c r="O929" s="3176">
        <v>26.98</v>
      </c>
      <c r="P929" s="3176">
        <v>8.49</v>
      </c>
    </row>
    <row r="930" spans="1:16" ht="15" thickBot="1">
      <c r="A930" s="3174">
        <v>928</v>
      </c>
      <c r="B930" s="3175" t="s">
        <v>4364</v>
      </c>
      <c r="C930" s="3176">
        <v>89.58</v>
      </c>
      <c r="D930" s="3176">
        <v>28.2</v>
      </c>
      <c r="F930" s="3177">
        <v>928</v>
      </c>
      <c r="G930" s="3175" t="s">
        <v>4288</v>
      </c>
      <c r="H930" s="3178">
        <v>-2038</v>
      </c>
      <c r="I930" s="3179">
        <v>7.9</v>
      </c>
      <c r="J930" s="3179">
        <v>2.4900000000000002</v>
      </c>
      <c r="L930" s="3177">
        <v>928</v>
      </c>
      <c r="M930" s="3175">
        <v>-10142</v>
      </c>
      <c r="N930" s="3175" t="s">
        <v>4187</v>
      </c>
      <c r="O930" s="3176">
        <v>26.98</v>
      </c>
      <c r="P930" s="3176">
        <v>8.49</v>
      </c>
    </row>
    <row r="931" spans="1:16" ht="15" thickBot="1">
      <c r="A931" s="3174">
        <v>929</v>
      </c>
      <c r="B931" s="3175" t="s">
        <v>4365</v>
      </c>
      <c r="C931" s="3176">
        <v>113.47</v>
      </c>
      <c r="D931" s="3176">
        <v>35.72</v>
      </c>
      <c r="F931" s="3177">
        <v>929</v>
      </c>
      <c r="G931" s="3175" t="s">
        <v>4288</v>
      </c>
      <c r="H931" s="3178">
        <v>-2039</v>
      </c>
      <c r="I931" s="3179">
        <v>8.36</v>
      </c>
      <c r="J931" s="3179">
        <v>2.63</v>
      </c>
      <c r="L931" s="3177">
        <v>929</v>
      </c>
      <c r="M931" s="3175">
        <v>-10143</v>
      </c>
      <c r="N931" s="3175" t="s">
        <v>4187</v>
      </c>
      <c r="O931" s="3176">
        <v>26.98</v>
      </c>
      <c r="P931" s="3176">
        <v>8.49</v>
      </c>
    </row>
    <row r="932" spans="1:16" ht="15" thickBot="1">
      <c r="A932" s="3174">
        <v>930</v>
      </c>
      <c r="B932" s="3175" t="s">
        <v>4366</v>
      </c>
      <c r="C932" s="3176">
        <v>89.29</v>
      </c>
      <c r="D932" s="3176">
        <v>28.11</v>
      </c>
      <c r="F932" s="3177">
        <v>930</v>
      </c>
      <c r="G932" s="3175" t="s">
        <v>4288</v>
      </c>
      <c r="H932" s="3178">
        <v>-2040</v>
      </c>
      <c r="I932" s="3179">
        <v>8.14</v>
      </c>
      <c r="J932" s="3179">
        <v>2.56</v>
      </c>
      <c r="L932" s="3177">
        <v>930</v>
      </c>
      <c r="M932" s="3175">
        <v>-10144</v>
      </c>
      <c r="N932" s="3175" t="s">
        <v>4187</v>
      </c>
      <c r="O932" s="3176">
        <v>26.98</v>
      </c>
      <c r="P932" s="3176">
        <v>8.49</v>
      </c>
    </row>
    <row r="933" spans="1:16" ht="15" thickBot="1">
      <c r="A933" s="3174">
        <v>931</v>
      </c>
      <c r="B933" s="3175" t="s">
        <v>4367</v>
      </c>
      <c r="C933" s="3176">
        <v>89.29</v>
      </c>
      <c r="D933" s="3176">
        <v>28.11</v>
      </c>
      <c r="F933" s="3177">
        <v>931</v>
      </c>
      <c r="G933" s="3175" t="s">
        <v>4288</v>
      </c>
      <c r="H933" s="3178">
        <v>-2041</v>
      </c>
      <c r="I933" s="3179">
        <v>10.87</v>
      </c>
      <c r="J933" s="3179">
        <v>3.42</v>
      </c>
      <c r="L933" s="3177">
        <v>931</v>
      </c>
      <c r="M933" s="3175">
        <v>-10145</v>
      </c>
      <c r="N933" s="3175" t="s">
        <v>4187</v>
      </c>
      <c r="O933" s="3176">
        <v>26.98</v>
      </c>
      <c r="P933" s="3176">
        <v>8.49</v>
      </c>
    </row>
    <row r="934" spans="1:16" ht="15" thickBot="1">
      <c r="A934" s="3174">
        <v>932</v>
      </c>
      <c r="B934" s="3175" t="s">
        <v>4368</v>
      </c>
      <c r="C934" s="3176">
        <v>89.58</v>
      </c>
      <c r="D934" s="3176">
        <v>28.2</v>
      </c>
      <c r="F934" s="3177">
        <v>932</v>
      </c>
      <c r="G934" s="3175" t="s">
        <v>4288</v>
      </c>
      <c r="H934" s="3178">
        <v>-2042</v>
      </c>
      <c r="I934" s="3179">
        <v>8.83</v>
      </c>
      <c r="J934" s="3179">
        <v>2.78</v>
      </c>
      <c r="L934" s="3177">
        <v>932</v>
      </c>
      <c r="M934" s="3175">
        <v>-10146</v>
      </c>
      <c r="N934" s="3175" t="s">
        <v>4187</v>
      </c>
      <c r="O934" s="3176">
        <v>26.98</v>
      </c>
      <c r="P934" s="3176">
        <v>8.49</v>
      </c>
    </row>
    <row r="935" spans="1:16" ht="15" thickBot="1">
      <c r="A935" s="3174">
        <v>933</v>
      </c>
      <c r="B935" s="3175" t="s">
        <v>4369</v>
      </c>
      <c r="C935" s="3176">
        <v>113.47</v>
      </c>
      <c r="D935" s="3176">
        <v>35.72</v>
      </c>
      <c r="F935" s="3177">
        <v>933</v>
      </c>
      <c r="G935" s="3175" t="s">
        <v>4288</v>
      </c>
      <c r="H935" s="3178">
        <v>-2043</v>
      </c>
      <c r="I935" s="3179">
        <v>8.9600000000000009</v>
      </c>
      <c r="J935" s="3179">
        <v>2.82</v>
      </c>
      <c r="L935" s="3177">
        <v>933</v>
      </c>
      <c r="M935" s="3175">
        <v>-10147</v>
      </c>
      <c r="N935" s="3175" t="s">
        <v>4187</v>
      </c>
      <c r="O935" s="3176">
        <v>26.98</v>
      </c>
      <c r="P935" s="3176">
        <v>8.49</v>
      </c>
    </row>
    <row r="936" spans="1:16" ht="15" thickBot="1">
      <c r="A936" s="3174">
        <v>934</v>
      </c>
      <c r="B936" s="3175" t="s">
        <v>4370</v>
      </c>
      <c r="C936" s="3176">
        <v>89.29</v>
      </c>
      <c r="D936" s="3176">
        <v>28.11</v>
      </c>
      <c r="F936" s="3177">
        <v>934</v>
      </c>
      <c r="G936" s="3175" t="s">
        <v>4288</v>
      </c>
      <c r="H936" s="3178">
        <v>-2044</v>
      </c>
      <c r="I936" s="3179">
        <v>8.83</v>
      </c>
      <c r="J936" s="3179">
        <v>2.78</v>
      </c>
      <c r="L936" s="3177">
        <v>934</v>
      </c>
      <c r="M936" s="3175">
        <v>-10148</v>
      </c>
      <c r="N936" s="3175" t="s">
        <v>4187</v>
      </c>
      <c r="O936" s="3176">
        <v>26.98</v>
      </c>
      <c r="P936" s="3176">
        <v>8.49</v>
      </c>
    </row>
    <row r="937" spans="1:16" ht="15" thickBot="1">
      <c r="A937" s="3174">
        <v>935</v>
      </c>
      <c r="B937" s="3175" t="s">
        <v>4371</v>
      </c>
      <c r="C937" s="3176">
        <v>89.29</v>
      </c>
      <c r="D937" s="3176">
        <v>28.11</v>
      </c>
      <c r="F937" s="3177">
        <v>935</v>
      </c>
      <c r="G937" s="3175" t="s">
        <v>4288</v>
      </c>
      <c r="H937" s="3178">
        <v>-2045</v>
      </c>
      <c r="I937" s="3179">
        <v>7.55</v>
      </c>
      <c r="J937" s="3179">
        <v>2.38</v>
      </c>
      <c r="L937" s="3177">
        <v>935</v>
      </c>
      <c r="M937" s="3175">
        <v>-10149</v>
      </c>
      <c r="N937" s="3175" t="s">
        <v>4187</v>
      </c>
      <c r="O937" s="3176">
        <v>26.98</v>
      </c>
      <c r="P937" s="3176">
        <v>8.49</v>
      </c>
    </row>
    <row r="938" spans="1:16" ht="15" thickBot="1">
      <c r="A938" s="3174">
        <v>936</v>
      </c>
      <c r="B938" s="3175" t="s">
        <v>4372</v>
      </c>
      <c r="C938" s="3176">
        <v>89.58</v>
      </c>
      <c r="D938" s="3176">
        <v>28.2</v>
      </c>
      <c r="F938" s="3177">
        <v>936</v>
      </c>
      <c r="G938" s="3175" t="s">
        <v>4288</v>
      </c>
      <c r="H938" s="3178">
        <v>-2046</v>
      </c>
      <c r="I938" s="3179">
        <v>7.33</v>
      </c>
      <c r="J938" s="3179">
        <v>2.31</v>
      </c>
      <c r="L938" s="3177">
        <v>936</v>
      </c>
      <c r="M938" s="3175">
        <v>-10150</v>
      </c>
      <c r="N938" s="3175" t="s">
        <v>4187</v>
      </c>
      <c r="O938" s="3176">
        <v>26.98</v>
      </c>
      <c r="P938" s="3176">
        <v>8.49</v>
      </c>
    </row>
    <row r="939" spans="1:16" ht="15" thickBot="1">
      <c r="A939" s="3174">
        <v>937</v>
      </c>
      <c r="B939" s="3175" t="s">
        <v>4373</v>
      </c>
      <c r="C939" s="3176">
        <v>113.47</v>
      </c>
      <c r="D939" s="3176">
        <v>35.72</v>
      </c>
      <c r="F939" s="3177">
        <v>937</v>
      </c>
      <c r="G939" s="3175" t="s">
        <v>4288</v>
      </c>
      <c r="H939" s="3178">
        <v>-2047</v>
      </c>
      <c r="I939" s="3179">
        <v>7.33</v>
      </c>
      <c r="J939" s="3179">
        <v>2.31</v>
      </c>
      <c r="L939" s="3177">
        <v>937</v>
      </c>
      <c r="M939" s="3175">
        <v>-10151</v>
      </c>
      <c r="N939" s="3175" t="s">
        <v>4187</v>
      </c>
      <c r="O939" s="3176">
        <v>26.98</v>
      </c>
      <c r="P939" s="3176">
        <v>8.49</v>
      </c>
    </row>
    <row r="940" spans="1:16" ht="15" thickBot="1">
      <c r="A940" s="3174">
        <v>938</v>
      </c>
      <c r="B940" s="3175" t="s">
        <v>4374</v>
      </c>
      <c r="C940" s="3176">
        <v>89.29</v>
      </c>
      <c r="D940" s="3176">
        <v>28.11</v>
      </c>
      <c r="F940" s="3177">
        <v>938</v>
      </c>
      <c r="G940" s="3175" t="s">
        <v>4288</v>
      </c>
      <c r="H940" s="3178">
        <v>-2048</v>
      </c>
      <c r="I940" s="3179">
        <v>7.64</v>
      </c>
      <c r="J940" s="3179">
        <v>2.41</v>
      </c>
      <c r="L940" s="3177">
        <v>938</v>
      </c>
      <c r="M940" s="3175">
        <v>-10152</v>
      </c>
      <c r="N940" s="3175" t="s">
        <v>4187</v>
      </c>
      <c r="O940" s="3176">
        <v>26.98</v>
      </c>
      <c r="P940" s="3176">
        <v>8.49</v>
      </c>
    </row>
    <row r="941" spans="1:16" ht="15" thickBot="1">
      <c r="A941" s="3174">
        <v>939</v>
      </c>
      <c r="B941" s="3175" t="s">
        <v>4375</v>
      </c>
      <c r="C941" s="3176">
        <v>89.29</v>
      </c>
      <c r="D941" s="3176">
        <v>28.11</v>
      </c>
      <c r="F941" s="3177">
        <v>939</v>
      </c>
      <c r="G941" s="3175" t="s">
        <v>4288</v>
      </c>
      <c r="H941" s="3178">
        <v>-2049</v>
      </c>
      <c r="I941" s="3179">
        <v>7.64</v>
      </c>
      <c r="J941" s="3179">
        <v>2.41</v>
      </c>
      <c r="L941" s="3177">
        <v>939</v>
      </c>
      <c r="M941" s="3175">
        <v>-10153</v>
      </c>
      <c r="N941" s="3175" t="s">
        <v>4187</v>
      </c>
      <c r="O941" s="3176">
        <v>26.98</v>
      </c>
      <c r="P941" s="3176">
        <v>8.49</v>
      </c>
    </row>
    <row r="942" spans="1:16" ht="15" thickBot="1">
      <c r="A942" s="3174">
        <v>940</v>
      </c>
      <c r="B942" s="3175" t="s">
        <v>4376</v>
      </c>
      <c r="C942" s="3176">
        <v>89.58</v>
      </c>
      <c r="D942" s="3176">
        <v>28.2</v>
      </c>
      <c r="F942" s="3177">
        <v>940</v>
      </c>
      <c r="G942" s="3175" t="s">
        <v>4288</v>
      </c>
      <c r="H942" s="3178">
        <v>-2050</v>
      </c>
      <c r="I942" s="3179">
        <v>7.33</v>
      </c>
      <c r="J942" s="3179">
        <v>2.31</v>
      </c>
      <c r="L942" s="3177">
        <v>940</v>
      </c>
      <c r="M942" s="3175">
        <v>-10154</v>
      </c>
      <c r="N942" s="3175" t="s">
        <v>4187</v>
      </c>
      <c r="O942" s="3176">
        <v>26.98</v>
      </c>
      <c r="P942" s="3176">
        <v>8.49</v>
      </c>
    </row>
    <row r="943" spans="1:16" ht="15" thickBot="1">
      <c r="A943" s="3174">
        <v>941</v>
      </c>
      <c r="B943" s="3175" t="s">
        <v>4377</v>
      </c>
      <c r="C943" s="3176">
        <v>113.47</v>
      </c>
      <c r="D943" s="3176">
        <v>35.72</v>
      </c>
      <c r="F943" s="3177">
        <v>941</v>
      </c>
      <c r="G943" s="3175" t="s">
        <v>4288</v>
      </c>
      <c r="H943" s="3178">
        <v>-2051</v>
      </c>
      <c r="I943" s="3179">
        <v>7.33</v>
      </c>
      <c r="J943" s="3179">
        <v>2.31</v>
      </c>
      <c r="L943" s="3177">
        <v>941</v>
      </c>
      <c r="M943" s="3175">
        <v>-10155</v>
      </c>
      <c r="N943" s="3175" t="s">
        <v>4187</v>
      </c>
      <c r="O943" s="3176">
        <v>26.98</v>
      </c>
      <c r="P943" s="3176">
        <v>8.49</v>
      </c>
    </row>
    <row r="944" spans="1:16" ht="15" thickBot="1">
      <c r="A944" s="3174">
        <v>942</v>
      </c>
      <c r="B944" s="3175" t="s">
        <v>4378</v>
      </c>
      <c r="C944" s="3176">
        <v>89.29</v>
      </c>
      <c r="D944" s="3176">
        <v>28.11</v>
      </c>
      <c r="F944" s="3177">
        <v>942</v>
      </c>
      <c r="G944" s="3175" t="s">
        <v>4288</v>
      </c>
      <c r="H944" s="3178">
        <v>-2052</v>
      </c>
      <c r="I944" s="3179">
        <v>7.55</v>
      </c>
      <c r="J944" s="3179">
        <v>2.38</v>
      </c>
      <c r="L944" s="3177">
        <v>942</v>
      </c>
      <c r="M944" s="3175">
        <v>-10156</v>
      </c>
      <c r="N944" s="3175" t="s">
        <v>4187</v>
      </c>
      <c r="O944" s="3176">
        <v>26.98</v>
      </c>
      <c r="P944" s="3176">
        <v>8.49</v>
      </c>
    </row>
    <row r="945" spans="1:16" ht="15" thickBot="1">
      <c r="A945" s="3174">
        <v>943</v>
      </c>
      <c r="B945" s="3175" t="s">
        <v>4379</v>
      </c>
      <c r="C945" s="3176">
        <v>89.29</v>
      </c>
      <c r="D945" s="3176">
        <v>28.11</v>
      </c>
      <c r="F945" s="3177">
        <v>943</v>
      </c>
      <c r="G945" s="3175" t="s">
        <v>4288</v>
      </c>
      <c r="H945" s="3178">
        <v>-2053</v>
      </c>
      <c r="I945" s="3179">
        <v>8.83</v>
      </c>
      <c r="J945" s="3179">
        <v>2.78</v>
      </c>
      <c r="L945" s="3177">
        <v>943</v>
      </c>
      <c r="M945" s="3175">
        <v>-10157</v>
      </c>
      <c r="N945" s="3175" t="s">
        <v>4187</v>
      </c>
      <c r="O945" s="3176">
        <v>26.98</v>
      </c>
      <c r="P945" s="3176">
        <v>8.49</v>
      </c>
    </row>
    <row r="946" spans="1:16" ht="15" thickBot="1">
      <c r="A946" s="3174">
        <v>944</v>
      </c>
      <c r="B946" s="3175" t="s">
        <v>4380</v>
      </c>
      <c r="C946" s="3176">
        <v>89.58</v>
      </c>
      <c r="D946" s="3176">
        <v>28.2</v>
      </c>
      <c r="F946" s="3177">
        <v>944</v>
      </c>
      <c r="G946" s="3175" t="s">
        <v>4288</v>
      </c>
      <c r="H946" s="3178">
        <v>-2054</v>
      </c>
      <c r="I946" s="3179">
        <v>8.9600000000000009</v>
      </c>
      <c r="J946" s="3179">
        <v>2.82</v>
      </c>
      <c r="L946" s="3177">
        <v>944</v>
      </c>
      <c r="M946" s="3175">
        <v>-10158</v>
      </c>
      <c r="N946" s="3175" t="s">
        <v>4187</v>
      </c>
      <c r="O946" s="3176">
        <v>26.98</v>
      </c>
      <c r="P946" s="3176">
        <v>8.49</v>
      </c>
    </row>
    <row r="947" spans="1:16" ht="15" thickBot="1">
      <c r="A947" s="3174">
        <v>945</v>
      </c>
      <c r="B947" s="3175" t="s">
        <v>4381</v>
      </c>
      <c r="C947" s="3176">
        <v>113.47</v>
      </c>
      <c r="D947" s="3176">
        <v>35.72</v>
      </c>
      <c r="F947" s="3177">
        <v>945</v>
      </c>
      <c r="G947" s="3175" t="s">
        <v>4288</v>
      </c>
      <c r="H947" s="3178">
        <v>-2055</v>
      </c>
      <c r="I947" s="3179">
        <v>8.83</v>
      </c>
      <c r="J947" s="3179">
        <v>2.78</v>
      </c>
      <c r="L947" s="3177">
        <v>945</v>
      </c>
      <c r="M947" s="3175">
        <v>-10159</v>
      </c>
      <c r="N947" s="3175" t="s">
        <v>4187</v>
      </c>
      <c r="O947" s="3176">
        <v>26.98</v>
      </c>
      <c r="P947" s="3176">
        <v>8.49</v>
      </c>
    </row>
    <row r="948" spans="1:16" ht="15" thickBot="1">
      <c r="A948" s="3174">
        <v>946</v>
      </c>
      <c r="B948" s="3175" t="s">
        <v>4382</v>
      </c>
      <c r="C948" s="3176">
        <v>89.29</v>
      </c>
      <c r="D948" s="3176">
        <v>28.11</v>
      </c>
      <c r="F948" s="3177">
        <v>946</v>
      </c>
      <c r="G948" s="3175" t="s">
        <v>4288</v>
      </c>
      <c r="H948" s="3178">
        <v>-2056</v>
      </c>
      <c r="I948" s="3179">
        <v>8.2799999999999994</v>
      </c>
      <c r="J948" s="3179">
        <v>2.61</v>
      </c>
      <c r="L948" s="3177">
        <v>946</v>
      </c>
      <c r="M948" s="3175">
        <v>-10160</v>
      </c>
      <c r="N948" s="3175" t="s">
        <v>4187</v>
      </c>
      <c r="O948" s="3176">
        <v>26.98</v>
      </c>
      <c r="P948" s="3176">
        <v>8.49</v>
      </c>
    </row>
    <row r="949" spans="1:16" ht="15" thickBot="1">
      <c r="A949" s="3174">
        <v>947</v>
      </c>
      <c r="B949" s="3175" t="s">
        <v>4383</v>
      </c>
      <c r="C949" s="3176">
        <v>89.29</v>
      </c>
      <c r="D949" s="3176">
        <v>28.11</v>
      </c>
      <c r="F949" s="3177">
        <v>947</v>
      </c>
      <c r="G949" s="3175" t="s">
        <v>4288</v>
      </c>
      <c r="H949" s="3178">
        <v>-2057</v>
      </c>
      <c r="I949" s="3179">
        <v>8.52</v>
      </c>
      <c r="J949" s="3179">
        <v>2.68</v>
      </c>
      <c r="L949" s="3177">
        <v>947</v>
      </c>
      <c r="M949" s="3175">
        <v>-10161</v>
      </c>
      <c r="N949" s="3175" t="s">
        <v>4187</v>
      </c>
      <c r="O949" s="3176">
        <v>26.98</v>
      </c>
      <c r="P949" s="3176">
        <v>8.49</v>
      </c>
    </row>
    <row r="950" spans="1:16" ht="15" thickBot="1">
      <c r="A950" s="3174">
        <v>948</v>
      </c>
      <c r="B950" s="3175" t="s">
        <v>4384</v>
      </c>
      <c r="C950" s="3176">
        <v>89.58</v>
      </c>
      <c r="D950" s="3176">
        <v>28.2</v>
      </c>
      <c r="F950" s="3177">
        <v>948</v>
      </c>
      <c r="G950" s="3175" t="s">
        <v>4288</v>
      </c>
      <c r="H950" s="3178">
        <v>-2058</v>
      </c>
      <c r="I950" s="3179">
        <v>8.0500000000000007</v>
      </c>
      <c r="J950" s="3179">
        <v>2.5299999999999998</v>
      </c>
      <c r="L950" s="3177">
        <v>948</v>
      </c>
      <c r="M950" s="3175">
        <v>-10162</v>
      </c>
      <c r="N950" s="3175" t="s">
        <v>4187</v>
      </c>
      <c r="O950" s="3176">
        <v>26.98</v>
      </c>
      <c r="P950" s="3176">
        <v>8.49</v>
      </c>
    </row>
    <row r="951" spans="1:16" ht="15" thickBot="1">
      <c r="A951" s="3174">
        <v>949</v>
      </c>
      <c r="B951" s="3175" t="s">
        <v>4385</v>
      </c>
      <c r="C951" s="3176">
        <v>113.47</v>
      </c>
      <c r="D951" s="3176">
        <v>35.72</v>
      </c>
      <c r="F951" s="3177">
        <v>949</v>
      </c>
      <c r="G951" s="3175" t="s">
        <v>4288</v>
      </c>
      <c r="H951" s="3178">
        <v>-2059</v>
      </c>
      <c r="I951" s="3179">
        <v>11.73</v>
      </c>
      <c r="J951" s="3179">
        <v>3.69</v>
      </c>
      <c r="L951" s="3177">
        <v>949</v>
      </c>
      <c r="M951" s="3175">
        <v>-10163</v>
      </c>
      <c r="N951" s="3175" t="s">
        <v>4187</v>
      </c>
      <c r="O951" s="3176">
        <v>26.98</v>
      </c>
      <c r="P951" s="3176">
        <v>8.49</v>
      </c>
    </row>
    <row r="952" spans="1:16" ht="15" thickBot="1">
      <c r="A952" s="3174">
        <v>950</v>
      </c>
      <c r="B952" s="3175" t="s">
        <v>4386</v>
      </c>
      <c r="C952" s="3176">
        <v>89.29</v>
      </c>
      <c r="D952" s="3176">
        <v>28.11</v>
      </c>
      <c r="F952" s="3177">
        <v>950</v>
      </c>
      <c r="G952" s="3175" t="s">
        <v>4288</v>
      </c>
      <c r="H952" s="3178">
        <v>-2060</v>
      </c>
      <c r="I952" s="3179">
        <v>8.81</v>
      </c>
      <c r="J952" s="3179">
        <v>2.77</v>
      </c>
      <c r="L952" s="3177">
        <v>950</v>
      </c>
      <c r="M952" s="3175">
        <v>-10164</v>
      </c>
      <c r="N952" s="3175" t="s">
        <v>4187</v>
      </c>
      <c r="O952" s="3176">
        <v>26.98</v>
      </c>
      <c r="P952" s="3176">
        <v>8.49</v>
      </c>
    </row>
    <row r="953" spans="1:16" ht="15" thickBot="1">
      <c r="A953" s="3174">
        <v>951</v>
      </c>
      <c r="B953" s="3175" t="s">
        <v>4387</v>
      </c>
      <c r="C953" s="3176">
        <v>89.29</v>
      </c>
      <c r="D953" s="3176">
        <v>28.11</v>
      </c>
      <c r="F953" s="3177">
        <v>951</v>
      </c>
      <c r="G953" s="3175" t="s">
        <v>4288</v>
      </c>
      <c r="H953" s="3178">
        <v>-2061</v>
      </c>
      <c r="I953" s="3179">
        <v>11.89</v>
      </c>
      <c r="J953" s="3179">
        <v>3.74</v>
      </c>
      <c r="L953" s="3177">
        <v>951</v>
      </c>
      <c r="M953" s="3175">
        <v>-10165</v>
      </c>
      <c r="N953" s="3175" t="s">
        <v>4187</v>
      </c>
      <c r="O953" s="3176">
        <v>26.98</v>
      </c>
      <c r="P953" s="3176">
        <v>8.49</v>
      </c>
    </row>
    <row r="954" spans="1:16" ht="15" thickBot="1">
      <c r="A954" s="3174">
        <v>952</v>
      </c>
      <c r="B954" s="3175" t="s">
        <v>4388</v>
      </c>
      <c r="C954" s="3176">
        <v>89.58</v>
      </c>
      <c r="D954" s="3176">
        <v>28.2</v>
      </c>
      <c r="F954" s="3177">
        <v>952</v>
      </c>
      <c r="G954" s="3175" t="s">
        <v>4288</v>
      </c>
      <c r="H954" s="3178">
        <v>-2062</v>
      </c>
      <c r="I954" s="3179">
        <v>8.3800000000000008</v>
      </c>
      <c r="J954" s="3179">
        <v>2.64</v>
      </c>
      <c r="L954" s="3177">
        <v>952</v>
      </c>
      <c r="M954" s="3175">
        <v>-10166</v>
      </c>
      <c r="N954" s="3175" t="s">
        <v>4187</v>
      </c>
      <c r="O954" s="3176">
        <v>26.98</v>
      </c>
      <c r="P954" s="3176">
        <v>8.49</v>
      </c>
    </row>
    <row r="955" spans="1:16" ht="15" thickBot="1">
      <c r="A955" s="3174">
        <v>953</v>
      </c>
      <c r="B955" s="3175" t="s">
        <v>4389</v>
      </c>
      <c r="C955" s="3176">
        <v>113.47</v>
      </c>
      <c r="D955" s="3176">
        <v>35.72</v>
      </c>
      <c r="F955" s="3177">
        <v>953</v>
      </c>
      <c r="G955" s="3175" t="s">
        <v>4288</v>
      </c>
      <c r="H955" s="3178">
        <v>-2063</v>
      </c>
      <c r="I955" s="3179">
        <v>11.85</v>
      </c>
      <c r="J955" s="3179">
        <v>3.73</v>
      </c>
      <c r="L955" s="3177">
        <v>953</v>
      </c>
      <c r="M955" s="3175">
        <v>-10167</v>
      </c>
      <c r="N955" s="3175" t="s">
        <v>4187</v>
      </c>
      <c r="O955" s="3176">
        <v>26.98</v>
      </c>
      <c r="P955" s="3176">
        <v>8.49</v>
      </c>
    </row>
    <row r="956" spans="1:16" ht="15" thickBot="1">
      <c r="A956" s="3174">
        <v>954</v>
      </c>
      <c r="B956" s="3175" t="s">
        <v>4390</v>
      </c>
      <c r="C956" s="3176">
        <v>89.29</v>
      </c>
      <c r="D956" s="3176">
        <v>28.11</v>
      </c>
      <c r="F956" s="3177">
        <v>954</v>
      </c>
      <c r="G956" s="3175" t="s">
        <v>4288</v>
      </c>
      <c r="H956" s="3178">
        <v>-2064</v>
      </c>
      <c r="I956" s="3179">
        <v>11.85</v>
      </c>
      <c r="J956" s="3179">
        <v>3.73</v>
      </c>
      <c r="L956" s="3177">
        <v>954</v>
      </c>
      <c r="M956" s="3175">
        <v>-10168</v>
      </c>
      <c r="N956" s="3175" t="s">
        <v>4187</v>
      </c>
      <c r="O956" s="3176">
        <v>26.98</v>
      </c>
      <c r="P956" s="3176">
        <v>8.49</v>
      </c>
    </row>
    <row r="957" spans="1:16" ht="15" thickBot="1">
      <c r="A957" s="3174">
        <v>955</v>
      </c>
      <c r="B957" s="3175" t="s">
        <v>4391</v>
      </c>
      <c r="C957" s="3176">
        <v>89.29</v>
      </c>
      <c r="D957" s="3176">
        <v>28.11</v>
      </c>
      <c r="F957" s="3177">
        <v>955</v>
      </c>
      <c r="G957" s="3175" t="s">
        <v>4288</v>
      </c>
      <c r="H957" s="3178">
        <v>-2065</v>
      </c>
      <c r="I957" s="3179">
        <v>11.99</v>
      </c>
      <c r="J957" s="3179">
        <v>3.77</v>
      </c>
      <c r="L957" s="3177">
        <v>955</v>
      </c>
      <c r="M957" s="3175">
        <v>-10169</v>
      </c>
      <c r="N957" s="3175" t="s">
        <v>4187</v>
      </c>
      <c r="O957" s="3176">
        <v>26.98</v>
      </c>
      <c r="P957" s="3176">
        <v>8.49</v>
      </c>
    </row>
    <row r="958" spans="1:16" ht="15" thickBot="1">
      <c r="A958" s="3174">
        <v>956</v>
      </c>
      <c r="B958" s="3175" t="s">
        <v>4392</v>
      </c>
      <c r="C958" s="3176">
        <v>89.58</v>
      </c>
      <c r="D958" s="3176">
        <v>28.2</v>
      </c>
      <c r="F958" s="3177">
        <v>956</v>
      </c>
      <c r="G958" s="3175" t="s">
        <v>4288</v>
      </c>
      <c r="H958" s="3178">
        <v>-2066</v>
      </c>
      <c r="I958" s="3179">
        <v>11.99</v>
      </c>
      <c r="J958" s="3179">
        <v>3.77</v>
      </c>
      <c r="L958" s="3177">
        <v>956</v>
      </c>
      <c r="M958" s="3175">
        <v>-10170</v>
      </c>
      <c r="N958" s="3175" t="s">
        <v>4187</v>
      </c>
      <c r="O958" s="3176">
        <v>26.98</v>
      </c>
      <c r="P958" s="3176">
        <v>8.49</v>
      </c>
    </row>
    <row r="959" spans="1:16" ht="15" thickBot="1">
      <c r="A959" s="3174">
        <v>957</v>
      </c>
      <c r="B959" s="3175" t="s">
        <v>4393</v>
      </c>
      <c r="C959" s="3176">
        <v>113.47</v>
      </c>
      <c r="D959" s="3176">
        <v>35.72</v>
      </c>
      <c r="F959" s="3177">
        <v>957</v>
      </c>
      <c r="G959" s="3175" t="s">
        <v>4288</v>
      </c>
      <c r="H959" s="3178">
        <v>-2067</v>
      </c>
      <c r="I959" s="3179">
        <v>8.98</v>
      </c>
      <c r="J959" s="3179">
        <v>2.83</v>
      </c>
      <c r="L959" s="3177">
        <v>957</v>
      </c>
      <c r="M959" s="3175">
        <v>-10171</v>
      </c>
      <c r="N959" s="3175" t="s">
        <v>4187</v>
      </c>
      <c r="O959" s="3176">
        <v>26.98</v>
      </c>
      <c r="P959" s="3176">
        <v>8.49</v>
      </c>
    </row>
    <row r="960" spans="1:16" ht="15" thickBot="1">
      <c r="A960" s="3174">
        <v>958</v>
      </c>
      <c r="B960" s="3175" t="s">
        <v>4394</v>
      </c>
      <c r="C960" s="3176">
        <v>89.29</v>
      </c>
      <c r="D960" s="3176">
        <v>28.11</v>
      </c>
      <c r="F960" s="3177">
        <v>958</v>
      </c>
      <c r="G960" s="3175" t="s">
        <v>4288</v>
      </c>
      <c r="H960" s="3178">
        <v>-2068</v>
      </c>
      <c r="I960" s="3179">
        <v>8.76</v>
      </c>
      <c r="J960" s="3179">
        <v>2.76</v>
      </c>
      <c r="L960" s="3177">
        <v>958</v>
      </c>
      <c r="M960" s="3175">
        <v>-10172</v>
      </c>
      <c r="N960" s="3175" t="s">
        <v>4187</v>
      </c>
      <c r="O960" s="3176">
        <v>26.98</v>
      </c>
      <c r="P960" s="3176">
        <v>8.49</v>
      </c>
    </row>
    <row r="961" spans="1:16" ht="15" thickBot="1">
      <c r="A961" s="3174">
        <v>959</v>
      </c>
      <c r="B961" s="3175" t="s">
        <v>4395</v>
      </c>
      <c r="C961" s="3176">
        <v>89.29</v>
      </c>
      <c r="D961" s="3176">
        <v>28.11</v>
      </c>
      <c r="F961" s="3177">
        <v>959</v>
      </c>
      <c r="G961" s="3175" t="s">
        <v>4288</v>
      </c>
      <c r="H961" s="3178">
        <v>-2069</v>
      </c>
      <c r="I961" s="3179">
        <v>10.29</v>
      </c>
      <c r="J961" s="3179">
        <v>3.24</v>
      </c>
      <c r="L961" s="3177">
        <v>959</v>
      </c>
      <c r="M961" s="3175">
        <v>-10173</v>
      </c>
      <c r="N961" s="3175" t="s">
        <v>4187</v>
      </c>
      <c r="O961" s="3176">
        <v>26.98</v>
      </c>
      <c r="P961" s="3176">
        <v>8.49</v>
      </c>
    </row>
    <row r="962" spans="1:16" ht="15" thickBot="1">
      <c r="A962" s="3174">
        <v>960</v>
      </c>
      <c r="B962" s="3175" t="s">
        <v>4396</v>
      </c>
      <c r="C962" s="3176">
        <v>89.58</v>
      </c>
      <c r="D962" s="3176">
        <v>28.2</v>
      </c>
      <c r="F962" s="3177">
        <v>960</v>
      </c>
      <c r="G962" s="3175" t="s">
        <v>4288</v>
      </c>
      <c r="H962" s="3178">
        <v>-2070</v>
      </c>
      <c r="I962" s="3179">
        <v>8.83</v>
      </c>
      <c r="J962" s="3179">
        <v>2.78</v>
      </c>
      <c r="L962" s="3177">
        <v>960</v>
      </c>
      <c r="M962" s="3175">
        <v>-10174</v>
      </c>
      <c r="N962" s="3175" t="s">
        <v>4187</v>
      </c>
      <c r="O962" s="3176">
        <v>26.98</v>
      </c>
      <c r="P962" s="3176">
        <v>8.49</v>
      </c>
    </row>
    <row r="963" spans="1:16" ht="15" thickBot="1">
      <c r="A963" s="3174">
        <v>961</v>
      </c>
      <c r="B963" s="3175" t="s">
        <v>4397</v>
      </c>
      <c r="C963" s="3176">
        <v>113.47</v>
      </c>
      <c r="D963" s="3176">
        <v>35.72</v>
      </c>
      <c r="F963" s="3177">
        <v>961</v>
      </c>
      <c r="G963" s="3175" t="s">
        <v>4288</v>
      </c>
      <c r="H963" s="3178">
        <v>-2071</v>
      </c>
      <c r="I963" s="3179">
        <v>8.9600000000000009</v>
      </c>
      <c r="J963" s="3179">
        <v>2.82</v>
      </c>
      <c r="L963" s="3177">
        <v>961</v>
      </c>
      <c r="M963" s="3175">
        <v>-10175</v>
      </c>
      <c r="N963" s="3175" t="s">
        <v>4187</v>
      </c>
      <c r="O963" s="3176">
        <v>26.98</v>
      </c>
      <c r="P963" s="3176">
        <v>8.49</v>
      </c>
    </row>
    <row r="964" spans="1:16" ht="15" thickBot="1">
      <c r="A964" s="3174">
        <v>962</v>
      </c>
      <c r="B964" s="3175" t="s">
        <v>4398</v>
      </c>
      <c r="C964" s="3176">
        <v>89.29</v>
      </c>
      <c r="D964" s="3176">
        <v>28.11</v>
      </c>
      <c r="F964" s="3177">
        <v>962</v>
      </c>
      <c r="G964" s="3175" t="s">
        <v>4288</v>
      </c>
      <c r="H964" s="3178">
        <v>-2072</v>
      </c>
      <c r="I964" s="3179">
        <v>8.83</v>
      </c>
      <c r="J964" s="3179">
        <v>2.78</v>
      </c>
      <c r="L964" s="3177">
        <v>962</v>
      </c>
      <c r="M964" s="3175">
        <v>-10176</v>
      </c>
      <c r="N964" s="3175" t="s">
        <v>4187</v>
      </c>
      <c r="O964" s="3176">
        <v>26.98</v>
      </c>
      <c r="P964" s="3176">
        <v>8.49</v>
      </c>
    </row>
    <row r="965" spans="1:16" ht="15" thickBot="1">
      <c r="A965" s="3174">
        <v>963</v>
      </c>
      <c r="B965" s="3175" t="s">
        <v>4399</v>
      </c>
      <c r="C965" s="3176">
        <v>89.29</v>
      </c>
      <c r="D965" s="3176">
        <v>28.11</v>
      </c>
      <c r="F965" s="3177">
        <v>963</v>
      </c>
      <c r="G965" s="3175" t="s">
        <v>4288</v>
      </c>
      <c r="H965" s="3178">
        <v>-2073</v>
      </c>
      <c r="I965" s="3179">
        <v>7.55</v>
      </c>
      <c r="J965" s="3179">
        <v>2.38</v>
      </c>
      <c r="L965" s="3177">
        <v>963</v>
      </c>
      <c r="M965" s="3175">
        <v>-10177</v>
      </c>
      <c r="N965" s="3175" t="s">
        <v>4187</v>
      </c>
      <c r="O965" s="3176">
        <v>26.98</v>
      </c>
      <c r="P965" s="3176">
        <v>8.49</v>
      </c>
    </row>
    <row r="966" spans="1:16" ht="15" thickBot="1">
      <c r="A966" s="3174">
        <v>964</v>
      </c>
      <c r="B966" s="3175" t="s">
        <v>4400</v>
      </c>
      <c r="C966" s="3176">
        <v>89.58</v>
      </c>
      <c r="D966" s="3176">
        <v>28.2</v>
      </c>
      <c r="F966" s="3177">
        <v>964</v>
      </c>
      <c r="G966" s="3175" t="s">
        <v>4288</v>
      </c>
      <c r="H966" s="3178">
        <v>-2074</v>
      </c>
      <c r="I966" s="3179">
        <v>7.33</v>
      </c>
      <c r="J966" s="3179">
        <v>2.31</v>
      </c>
      <c r="L966" s="3177">
        <v>964</v>
      </c>
      <c r="M966" s="3175">
        <v>-10178</v>
      </c>
      <c r="N966" s="3175" t="s">
        <v>4187</v>
      </c>
      <c r="O966" s="3176">
        <v>26.98</v>
      </c>
      <c r="P966" s="3176">
        <v>8.49</v>
      </c>
    </row>
    <row r="967" spans="1:16" ht="15" thickBot="1">
      <c r="A967" s="3174">
        <v>965</v>
      </c>
      <c r="B967" s="3175" t="s">
        <v>4401</v>
      </c>
      <c r="C967" s="3176">
        <v>113.47</v>
      </c>
      <c r="D967" s="3176">
        <v>35.72</v>
      </c>
      <c r="F967" s="3177">
        <v>965</v>
      </c>
      <c r="G967" s="3175" t="s">
        <v>4288</v>
      </c>
      <c r="H967" s="3178">
        <v>-2075</v>
      </c>
      <c r="I967" s="3179">
        <v>7.33</v>
      </c>
      <c r="J967" s="3179">
        <v>2.31</v>
      </c>
      <c r="L967" s="3177">
        <v>965</v>
      </c>
      <c r="M967" s="3175">
        <v>-10179</v>
      </c>
      <c r="N967" s="3175" t="s">
        <v>4187</v>
      </c>
      <c r="O967" s="3176">
        <v>26.98</v>
      </c>
      <c r="P967" s="3176">
        <v>8.49</v>
      </c>
    </row>
    <row r="968" spans="1:16" ht="15" thickBot="1">
      <c r="A968" s="3174">
        <v>966</v>
      </c>
      <c r="B968" s="3175" t="s">
        <v>4402</v>
      </c>
      <c r="C968" s="3176">
        <v>89.29</v>
      </c>
      <c r="D968" s="3176">
        <v>28.11</v>
      </c>
      <c r="F968" s="3177">
        <v>966</v>
      </c>
      <c r="G968" s="3175" t="s">
        <v>4288</v>
      </c>
      <c r="H968" s="3178">
        <v>-2076</v>
      </c>
      <c r="I968" s="3179">
        <v>7.64</v>
      </c>
      <c r="J968" s="3179">
        <v>2.41</v>
      </c>
      <c r="L968" s="3177">
        <v>966</v>
      </c>
      <c r="M968" s="3175">
        <v>-10180</v>
      </c>
      <c r="N968" s="3175" t="s">
        <v>4187</v>
      </c>
      <c r="O968" s="3176">
        <v>26.98</v>
      </c>
      <c r="P968" s="3176">
        <v>8.49</v>
      </c>
    </row>
    <row r="969" spans="1:16" ht="15" thickBot="1">
      <c r="A969" s="3174">
        <v>967</v>
      </c>
      <c r="B969" s="3175" t="s">
        <v>4403</v>
      </c>
      <c r="C969" s="3176">
        <v>89.29</v>
      </c>
      <c r="D969" s="3176">
        <v>28.11</v>
      </c>
      <c r="F969" s="3177">
        <v>967</v>
      </c>
      <c r="G969" s="3175" t="s">
        <v>4288</v>
      </c>
      <c r="H969" s="3178">
        <v>-2077</v>
      </c>
      <c r="I969" s="3179">
        <v>7.64</v>
      </c>
      <c r="J969" s="3179">
        <v>2.41</v>
      </c>
      <c r="L969" s="3177">
        <v>967</v>
      </c>
      <c r="M969" s="3175">
        <v>-10181</v>
      </c>
      <c r="N969" s="3175" t="s">
        <v>4187</v>
      </c>
      <c r="O969" s="3176">
        <v>26.98</v>
      </c>
      <c r="P969" s="3176">
        <v>8.49</v>
      </c>
    </row>
    <row r="970" spans="1:16" ht="15" thickBot="1">
      <c r="A970" s="3174">
        <v>968</v>
      </c>
      <c r="B970" s="3175" t="s">
        <v>4404</v>
      </c>
      <c r="C970" s="3176">
        <v>89.58</v>
      </c>
      <c r="D970" s="3176">
        <v>28.2</v>
      </c>
      <c r="F970" s="3177">
        <v>968</v>
      </c>
      <c r="G970" s="3175" t="s">
        <v>4288</v>
      </c>
      <c r="H970" s="3178">
        <v>-2078</v>
      </c>
      <c r="I970" s="3179">
        <v>7.33</v>
      </c>
      <c r="J970" s="3179">
        <v>2.31</v>
      </c>
      <c r="L970" s="3177">
        <v>968</v>
      </c>
      <c r="M970" s="3175">
        <v>-10182</v>
      </c>
      <c r="N970" s="3175" t="s">
        <v>4187</v>
      </c>
      <c r="O970" s="3176">
        <v>26.98</v>
      </c>
      <c r="P970" s="3176">
        <v>8.49</v>
      </c>
    </row>
    <row r="971" spans="1:16" ht="15" thickBot="1">
      <c r="A971" s="3174">
        <v>969</v>
      </c>
      <c r="B971" s="3175" t="s">
        <v>4405</v>
      </c>
      <c r="C971" s="3176">
        <v>113.47</v>
      </c>
      <c r="D971" s="3176">
        <v>35.72</v>
      </c>
      <c r="F971" s="3177">
        <v>969</v>
      </c>
      <c r="G971" s="3175" t="s">
        <v>4288</v>
      </c>
      <c r="H971" s="3178">
        <v>-2079</v>
      </c>
      <c r="I971" s="3179">
        <v>7.33</v>
      </c>
      <c r="J971" s="3179">
        <v>2.31</v>
      </c>
      <c r="L971" s="3177">
        <v>969</v>
      </c>
      <c r="M971" s="3175">
        <v>-10183</v>
      </c>
      <c r="N971" s="3175" t="s">
        <v>4187</v>
      </c>
      <c r="O971" s="3176">
        <v>26.98</v>
      </c>
      <c r="P971" s="3176">
        <v>8.49</v>
      </c>
    </row>
    <row r="972" spans="1:16" ht="15" thickBot="1">
      <c r="A972" s="3174">
        <v>970</v>
      </c>
      <c r="B972" s="3175" t="s">
        <v>4406</v>
      </c>
      <c r="C972" s="3176">
        <v>89.29</v>
      </c>
      <c r="D972" s="3176">
        <v>28.11</v>
      </c>
      <c r="F972" s="3177">
        <v>970</v>
      </c>
      <c r="G972" s="3175" t="s">
        <v>4288</v>
      </c>
      <c r="H972" s="3178">
        <v>-2080</v>
      </c>
      <c r="I972" s="3179">
        <v>7.55</v>
      </c>
      <c r="J972" s="3179">
        <v>2.38</v>
      </c>
      <c r="L972" s="3177">
        <v>970</v>
      </c>
      <c r="M972" s="3175">
        <v>-10184</v>
      </c>
      <c r="N972" s="3175" t="s">
        <v>4187</v>
      </c>
      <c r="O972" s="3176">
        <v>26.98</v>
      </c>
      <c r="P972" s="3176">
        <v>8.49</v>
      </c>
    </row>
    <row r="973" spans="1:16" ht="15" thickBot="1">
      <c r="A973" s="3174">
        <v>971</v>
      </c>
      <c r="B973" s="3175" t="s">
        <v>4407</v>
      </c>
      <c r="C973" s="3176">
        <v>89.29</v>
      </c>
      <c r="D973" s="3176">
        <v>28.11</v>
      </c>
      <c r="F973" s="3177">
        <v>971</v>
      </c>
      <c r="G973" s="3175" t="s">
        <v>4288</v>
      </c>
      <c r="H973" s="3178">
        <v>-2081</v>
      </c>
      <c r="I973" s="3179">
        <v>8.83</v>
      </c>
      <c r="J973" s="3179">
        <v>2.78</v>
      </c>
      <c r="L973" s="3177">
        <v>971</v>
      </c>
      <c r="M973" s="3175">
        <v>-10185</v>
      </c>
      <c r="N973" s="3175" t="s">
        <v>4187</v>
      </c>
      <c r="O973" s="3176">
        <v>26.98</v>
      </c>
      <c r="P973" s="3176">
        <v>8.49</v>
      </c>
    </row>
    <row r="974" spans="1:16" ht="15" thickBot="1">
      <c r="A974" s="3174">
        <v>972</v>
      </c>
      <c r="B974" s="3175" t="s">
        <v>4408</v>
      </c>
      <c r="C974" s="3176">
        <v>89.58</v>
      </c>
      <c r="D974" s="3176">
        <v>28.2</v>
      </c>
      <c r="F974" s="3177">
        <v>972</v>
      </c>
      <c r="G974" s="3175" t="s">
        <v>4288</v>
      </c>
      <c r="H974" s="3178">
        <v>-2082</v>
      </c>
      <c r="I974" s="3179">
        <v>8.9600000000000009</v>
      </c>
      <c r="J974" s="3179">
        <v>2.82</v>
      </c>
      <c r="L974" s="3177">
        <v>972</v>
      </c>
      <c r="M974" s="3175">
        <v>-10186</v>
      </c>
      <c r="N974" s="3175" t="s">
        <v>4187</v>
      </c>
      <c r="O974" s="3176">
        <v>26.98</v>
      </c>
      <c r="P974" s="3176">
        <v>8.49</v>
      </c>
    </row>
    <row r="975" spans="1:16" ht="15" thickBot="1">
      <c r="A975" s="3174">
        <v>973</v>
      </c>
      <c r="B975" s="3175" t="s">
        <v>4409</v>
      </c>
      <c r="C975" s="3176">
        <v>89.26</v>
      </c>
      <c r="D975" s="3176">
        <v>28.1</v>
      </c>
      <c r="F975" s="3177">
        <v>973</v>
      </c>
      <c r="G975" s="3175" t="s">
        <v>4288</v>
      </c>
      <c r="H975" s="3178">
        <v>-2083</v>
      </c>
      <c r="I975" s="3179">
        <v>8.83</v>
      </c>
      <c r="J975" s="3179">
        <v>2.78</v>
      </c>
      <c r="L975" s="3177">
        <v>973</v>
      </c>
      <c r="M975" s="3175">
        <v>-10187</v>
      </c>
      <c r="N975" s="3175" t="s">
        <v>4187</v>
      </c>
      <c r="O975" s="3176">
        <v>26.98</v>
      </c>
      <c r="P975" s="3176">
        <v>8.49</v>
      </c>
    </row>
    <row r="976" spans="1:16" ht="15" thickBot="1">
      <c r="A976" s="3174">
        <v>974</v>
      </c>
      <c r="B976" s="3175" t="s">
        <v>4410</v>
      </c>
      <c r="C976" s="3176">
        <v>88.97</v>
      </c>
      <c r="D976" s="3176">
        <v>28.01</v>
      </c>
      <c r="F976" s="3177">
        <v>974</v>
      </c>
      <c r="G976" s="3175" t="s">
        <v>4288</v>
      </c>
      <c r="H976" s="3178">
        <v>-2084</v>
      </c>
      <c r="I976" s="3179">
        <v>10.87</v>
      </c>
      <c r="J976" s="3179">
        <v>3.42</v>
      </c>
      <c r="L976" s="3177">
        <v>974</v>
      </c>
      <c r="M976" s="3175">
        <v>-10188</v>
      </c>
      <c r="N976" s="3175" t="s">
        <v>4187</v>
      </c>
      <c r="O976" s="3176">
        <v>26.98</v>
      </c>
      <c r="P976" s="3176">
        <v>8.49</v>
      </c>
    </row>
    <row r="977" spans="1:16" ht="15" thickBot="1">
      <c r="A977" s="3174">
        <v>975</v>
      </c>
      <c r="B977" s="3175" t="s">
        <v>4411</v>
      </c>
      <c r="C977" s="3176">
        <v>88.97</v>
      </c>
      <c r="D977" s="3176">
        <v>28.01</v>
      </c>
      <c r="F977" s="3177">
        <v>975</v>
      </c>
      <c r="G977" s="3175" t="s">
        <v>4288</v>
      </c>
      <c r="H977" s="3178">
        <v>-2085</v>
      </c>
      <c r="I977" s="3179">
        <v>8.14</v>
      </c>
      <c r="J977" s="3179">
        <v>2.56</v>
      </c>
      <c r="L977" s="3177">
        <v>975</v>
      </c>
      <c r="M977" s="3175">
        <v>-10189</v>
      </c>
      <c r="N977" s="3175" t="s">
        <v>4187</v>
      </c>
      <c r="O977" s="3176">
        <v>26.98</v>
      </c>
      <c r="P977" s="3176">
        <v>8.49</v>
      </c>
    </row>
    <row r="978" spans="1:16" ht="15" thickBot="1">
      <c r="A978" s="3174">
        <v>976</v>
      </c>
      <c r="B978" s="3175" t="s">
        <v>4412</v>
      </c>
      <c r="C978" s="3176">
        <v>112.45</v>
      </c>
      <c r="D978" s="3176">
        <v>35.4</v>
      </c>
      <c r="F978" s="3177">
        <v>976</v>
      </c>
      <c r="G978" s="3175" t="s">
        <v>4288</v>
      </c>
      <c r="H978" s="3178">
        <v>-2086</v>
      </c>
      <c r="I978" s="3179">
        <v>8.14</v>
      </c>
      <c r="J978" s="3179">
        <v>2.56</v>
      </c>
      <c r="L978" s="3177">
        <v>976</v>
      </c>
      <c r="M978" s="3175">
        <v>-10190</v>
      </c>
      <c r="N978" s="3175" t="s">
        <v>4187</v>
      </c>
      <c r="O978" s="3176">
        <v>26.98</v>
      </c>
      <c r="P978" s="3176">
        <v>8.49</v>
      </c>
    </row>
    <row r="979" spans="1:16" ht="15" thickBot="1">
      <c r="A979" s="3174">
        <v>977</v>
      </c>
      <c r="B979" s="3175" t="s">
        <v>4413</v>
      </c>
      <c r="C979" s="3176">
        <v>89.26</v>
      </c>
      <c r="D979" s="3176">
        <v>28.1</v>
      </c>
      <c r="F979" s="3177">
        <v>977</v>
      </c>
      <c r="G979" s="3175" t="s">
        <v>4288</v>
      </c>
      <c r="H979" s="3178">
        <v>-2087</v>
      </c>
      <c r="I979" s="3179">
        <v>8.14</v>
      </c>
      <c r="J979" s="3179">
        <v>2.56</v>
      </c>
      <c r="L979" s="3177">
        <v>977</v>
      </c>
      <c r="M979" s="3175">
        <v>-10191</v>
      </c>
      <c r="N979" s="3175" t="s">
        <v>4187</v>
      </c>
      <c r="O979" s="3176">
        <v>26.98</v>
      </c>
      <c r="P979" s="3176">
        <v>8.49</v>
      </c>
    </row>
    <row r="980" spans="1:16" ht="15" thickBot="1">
      <c r="A980" s="3174">
        <v>978</v>
      </c>
      <c r="B980" s="3175" t="s">
        <v>4414</v>
      </c>
      <c r="C980" s="3176">
        <v>88.97</v>
      </c>
      <c r="D980" s="3176">
        <v>28.01</v>
      </c>
      <c r="F980" s="3177">
        <v>978</v>
      </c>
      <c r="G980" s="3175" t="s">
        <v>4288</v>
      </c>
      <c r="H980" s="3178">
        <v>-2088</v>
      </c>
      <c r="I980" s="3179">
        <v>6.78</v>
      </c>
      <c r="J980" s="3179">
        <v>2.13</v>
      </c>
      <c r="L980" s="3177">
        <v>978</v>
      </c>
      <c r="M980" s="3175">
        <v>-10192</v>
      </c>
      <c r="N980" s="3175" t="s">
        <v>4187</v>
      </c>
      <c r="O980" s="3176">
        <v>26.98</v>
      </c>
      <c r="P980" s="3176">
        <v>8.49</v>
      </c>
    </row>
    <row r="981" spans="1:16" ht="15" thickBot="1">
      <c r="A981" s="3174">
        <v>979</v>
      </c>
      <c r="B981" s="3175" t="s">
        <v>4415</v>
      </c>
      <c r="C981" s="3176">
        <v>88.97</v>
      </c>
      <c r="D981" s="3176">
        <v>28.01</v>
      </c>
      <c r="F981" s="3177">
        <v>979</v>
      </c>
      <c r="G981" s="3175" t="s">
        <v>4288</v>
      </c>
      <c r="H981" s="3178">
        <v>-2089</v>
      </c>
      <c r="I981" s="3179">
        <v>5.88</v>
      </c>
      <c r="J981" s="3179">
        <v>1.85</v>
      </c>
      <c r="L981" s="3177">
        <v>979</v>
      </c>
      <c r="M981" s="3175">
        <v>-10193</v>
      </c>
      <c r="N981" s="3175" t="s">
        <v>4187</v>
      </c>
      <c r="O981" s="3176">
        <v>26.98</v>
      </c>
      <c r="P981" s="3176">
        <v>8.49</v>
      </c>
    </row>
    <row r="982" spans="1:16" ht="15" thickBot="1">
      <c r="A982" s="3174">
        <v>980</v>
      </c>
      <c r="B982" s="3175" t="s">
        <v>4416</v>
      </c>
      <c r="C982" s="3176">
        <v>112.45</v>
      </c>
      <c r="D982" s="3176">
        <v>35.4</v>
      </c>
      <c r="F982" s="3177">
        <v>980</v>
      </c>
      <c r="G982" s="3175" t="s">
        <v>4288</v>
      </c>
      <c r="H982" s="3178">
        <v>-2090</v>
      </c>
      <c r="I982" s="3179">
        <v>14.78</v>
      </c>
      <c r="J982" s="3179">
        <v>4.6500000000000004</v>
      </c>
      <c r="L982" s="3177">
        <v>980</v>
      </c>
      <c r="M982" s="3175">
        <v>-10194</v>
      </c>
      <c r="N982" s="3175" t="s">
        <v>4187</v>
      </c>
      <c r="O982" s="3176">
        <v>26.98</v>
      </c>
      <c r="P982" s="3176">
        <v>8.49</v>
      </c>
    </row>
    <row r="983" spans="1:16" ht="15" thickBot="1">
      <c r="A983" s="3174">
        <v>981</v>
      </c>
      <c r="B983" s="3175" t="s">
        <v>4417</v>
      </c>
      <c r="C983" s="3176">
        <v>89.26</v>
      </c>
      <c r="D983" s="3176">
        <v>28.1</v>
      </c>
      <c r="F983" s="3177">
        <v>981</v>
      </c>
      <c r="G983" s="3175" t="s">
        <v>4288</v>
      </c>
      <c r="H983" s="3178">
        <v>-2091</v>
      </c>
      <c r="I983" s="3179">
        <v>7.85</v>
      </c>
      <c r="J983" s="3179">
        <v>2.4700000000000002</v>
      </c>
      <c r="L983" s="3177">
        <v>981</v>
      </c>
      <c r="M983" s="3175">
        <v>-10195</v>
      </c>
      <c r="N983" s="3175" t="s">
        <v>4187</v>
      </c>
      <c r="O983" s="3176">
        <v>26.98</v>
      </c>
      <c r="P983" s="3176">
        <v>8.49</v>
      </c>
    </row>
    <row r="984" spans="1:16" ht="15" thickBot="1">
      <c r="A984" s="3174">
        <v>982</v>
      </c>
      <c r="B984" s="3175" t="s">
        <v>4418</v>
      </c>
      <c r="C984" s="3176">
        <v>88.97</v>
      </c>
      <c r="D984" s="3176">
        <v>28.01</v>
      </c>
      <c r="F984" s="3177">
        <v>982</v>
      </c>
      <c r="G984" s="3175" t="s">
        <v>4288</v>
      </c>
      <c r="H984" s="3178">
        <v>-2092</v>
      </c>
      <c r="I984" s="3179">
        <v>11.96</v>
      </c>
      <c r="J984" s="3179">
        <v>3.77</v>
      </c>
      <c r="L984" s="3177">
        <v>982</v>
      </c>
      <c r="M984" s="3175">
        <v>-10196</v>
      </c>
      <c r="N984" s="3175" t="s">
        <v>4187</v>
      </c>
      <c r="O984" s="3176">
        <v>26.98</v>
      </c>
      <c r="P984" s="3176">
        <v>8.49</v>
      </c>
    </row>
    <row r="985" spans="1:16" ht="15" thickBot="1">
      <c r="A985" s="3174">
        <v>983</v>
      </c>
      <c r="B985" s="3175" t="s">
        <v>4419</v>
      </c>
      <c r="C985" s="3176">
        <v>88.97</v>
      </c>
      <c r="D985" s="3176">
        <v>28.01</v>
      </c>
      <c r="F985" s="3177">
        <v>983</v>
      </c>
      <c r="G985" s="3175" t="s">
        <v>4288</v>
      </c>
      <c r="H985" s="3178">
        <v>-2093</v>
      </c>
      <c r="I985" s="3179">
        <v>7.97</v>
      </c>
      <c r="J985" s="3179">
        <v>2.5099999999999998</v>
      </c>
      <c r="L985" s="3177">
        <v>983</v>
      </c>
      <c r="M985" s="3175">
        <v>-10197</v>
      </c>
      <c r="N985" s="3175" t="s">
        <v>4187</v>
      </c>
      <c r="O985" s="3176">
        <v>26.98</v>
      </c>
      <c r="P985" s="3176">
        <v>8.49</v>
      </c>
    </row>
    <row r="986" spans="1:16" ht="15" thickBot="1">
      <c r="A986" s="3174">
        <v>984</v>
      </c>
      <c r="B986" s="3175" t="s">
        <v>4420</v>
      </c>
      <c r="C986" s="3176">
        <v>112.45</v>
      </c>
      <c r="D986" s="3176">
        <v>35.4</v>
      </c>
      <c r="F986" s="3177">
        <v>984</v>
      </c>
      <c r="G986" s="3175" t="s">
        <v>4288</v>
      </c>
      <c r="H986" s="3178">
        <v>-2094</v>
      </c>
      <c r="I986" s="3179">
        <v>12.04</v>
      </c>
      <c r="J986" s="3179">
        <v>3.79</v>
      </c>
      <c r="L986" s="3177">
        <v>984</v>
      </c>
      <c r="M986" s="3175">
        <v>-10198</v>
      </c>
      <c r="N986" s="3175" t="s">
        <v>4187</v>
      </c>
      <c r="O986" s="3176">
        <v>26.98</v>
      </c>
      <c r="P986" s="3176">
        <v>8.49</v>
      </c>
    </row>
    <row r="987" spans="1:16" ht="15" thickBot="1">
      <c r="A987" s="3174">
        <v>985</v>
      </c>
      <c r="B987" s="3175" t="s">
        <v>4421</v>
      </c>
      <c r="C987" s="3176">
        <v>89.26</v>
      </c>
      <c r="D987" s="3176">
        <v>28.1</v>
      </c>
      <c r="F987" s="3177">
        <v>985</v>
      </c>
      <c r="G987" s="3175" t="s">
        <v>4288</v>
      </c>
      <c r="H987" s="3178">
        <v>-2095</v>
      </c>
      <c r="I987" s="3179">
        <v>9</v>
      </c>
      <c r="J987" s="3179">
        <v>2.83</v>
      </c>
      <c r="L987" s="3177">
        <v>985</v>
      </c>
      <c r="M987" s="3175">
        <v>-10199</v>
      </c>
      <c r="N987" s="3175" t="s">
        <v>4187</v>
      </c>
      <c r="O987" s="3176">
        <v>26.98</v>
      </c>
      <c r="P987" s="3176">
        <v>8.49</v>
      </c>
    </row>
    <row r="988" spans="1:16" ht="15" thickBot="1">
      <c r="A988" s="3174">
        <v>986</v>
      </c>
      <c r="B988" s="3175" t="s">
        <v>4422</v>
      </c>
      <c r="C988" s="3176">
        <v>88.97</v>
      </c>
      <c r="D988" s="3176">
        <v>28.01</v>
      </c>
      <c r="F988" s="3177">
        <v>986</v>
      </c>
      <c r="G988" s="3175" t="s">
        <v>4288</v>
      </c>
      <c r="H988" s="3178">
        <v>-2096</v>
      </c>
      <c r="I988" s="3179">
        <v>8.76</v>
      </c>
      <c r="J988" s="3179">
        <v>2.76</v>
      </c>
      <c r="L988" s="3177">
        <v>986</v>
      </c>
      <c r="M988" s="3175">
        <v>-10200</v>
      </c>
      <c r="N988" s="3175" t="s">
        <v>4187</v>
      </c>
      <c r="O988" s="3176">
        <v>26.98</v>
      </c>
      <c r="P988" s="3176">
        <v>8.49</v>
      </c>
    </row>
    <row r="989" spans="1:16" ht="15" thickBot="1">
      <c r="A989" s="3174">
        <v>987</v>
      </c>
      <c r="B989" s="3175" t="s">
        <v>4423</v>
      </c>
      <c r="C989" s="3176">
        <v>88.97</v>
      </c>
      <c r="D989" s="3176">
        <v>28.01</v>
      </c>
      <c r="F989" s="3177">
        <v>987</v>
      </c>
      <c r="G989" s="3175" t="s">
        <v>4288</v>
      </c>
      <c r="H989" s="3178">
        <v>-2097</v>
      </c>
      <c r="I989" s="3179">
        <v>10.77</v>
      </c>
      <c r="J989" s="3179">
        <v>3.39</v>
      </c>
      <c r="L989" s="3177">
        <v>987</v>
      </c>
      <c r="M989" s="3175">
        <v>-10201</v>
      </c>
      <c r="N989" s="3175" t="s">
        <v>4187</v>
      </c>
      <c r="O989" s="3176">
        <v>26.98</v>
      </c>
      <c r="P989" s="3176">
        <v>8.49</v>
      </c>
    </row>
    <row r="990" spans="1:16" ht="15" thickBot="1">
      <c r="A990" s="3174">
        <v>988</v>
      </c>
      <c r="B990" s="3175" t="s">
        <v>4424</v>
      </c>
      <c r="C990" s="3176">
        <v>112.45</v>
      </c>
      <c r="D990" s="3176">
        <v>35.4</v>
      </c>
      <c r="F990" s="3177">
        <v>988</v>
      </c>
      <c r="G990" s="3175" t="s">
        <v>4288</v>
      </c>
      <c r="H990" s="3178">
        <v>-2098</v>
      </c>
      <c r="I990" s="3179">
        <v>8.83</v>
      </c>
      <c r="J990" s="3179">
        <v>2.78</v>
      </c>
      <c r="L990" s="3177">
        <v>988</v>
      </c>
      <c r="M990" s="3175">
        <v>-10202</v>
      </c>
      <c r="N990" s="3175" t="s">
        <v>4187</v>
      </c>
      <c r="O990" s="3176">
        <v>26.98</v>
      </c>
      <c r="P990" s="3176">
        <v>8.49</v>
      </c>
    </row>
    <row r="991" spans="1:16" ht="15" thickBot="1">
      <c r="A991" s="3174">
        <v>989</v>
      </c>
      <c r="B991" s="3175" t="s">
        <v>4425</v>
      </c>
      <c r="C991" s="3176">
        <v>89.26</v>
      </c>
      <c r="D991" s="3176">
        <v>28.1</v>
      </c>
      <c r="F991" s="3177">
        <v>989</v>
      </c>
      <c r="G991" s="3175" t="s">
        <v>4288</v>
      </c>
      <c r="H991" s="3178">
        <v>-2099</v>
      </c>
      <c r="I991" s="3179">
        <v>8.9600000000000009</v>
      </c>
      <c r="J991" s="3179">
        <v>2.82</v>
      </c>
      <c r="L991" s="3177">
        <v>989</v>
      </c>
      <c r="M991" s="3175">
        <v>-10203</v>
      </c>
      <c r="N991" s="3175" t="s">
        <v>4187</v>
      </c>
      <c r="O991" s="3176">
        <v>26.98</v>
      </c>
      <c r="P991" s="3176">
        <v>8.49</v>
      </c>
    </row>
    <row r="992" spans="1:16" ht="15" thickBot="1">
      <c r="A992" s="3174">
        <v>990</v>
      </c>
      <c r="B992" s="3175" t="s">
        <v>4426</v>
      </c>
      <c r="C992" s="3176">
        <v>88.97</v>
      </c>
      <c r="D992" s="3176">
        <v>28.01</v>
      </c>
      <c r="F992" s="3177">
        <v>990</v>
      </c>
      <c r="G992" s="3175" t="s">
        <v>4288</v>
      </c>
      <c r="H992" s="3178">
        <v>-2100</v>
      </c>
      <c r="I992" s="3179">
        <v>8.83</v>
      </c>
      <c r="J992" s="3179">
        <v>2.78</v>
      </c>
      <c r="L992" s="3177">
        <v>990</v>
      </c>
      <c r="M992" s="3175">
        <v>-10204</v>
      </c>
      <c r="N992" s="3175" t="s">
        <v>4187</v>
      </c>
      <c r="O992" s="3176">
        <v>26.98</v>
      </c>
      <c r="P992" s="3176">
        <v>8.49</v>
      </c>
    </row>
    <row r="993" spans="1:16" ht="15" thickBot="1">
      <c r="A993" s="3174">
        <v>991</v>
      </c>
      <c r="B993" s="3175" t="s">
        <v>4427</v>
      </c>
      <c r="C993" s="3176">
        <v>88.97</v>
      </c>
      <c r="D993" s="3176">
        <v>28.01</v>
      </c>
      <c r="F993" s="3177">
        <v>991</v>
      </c>
      <c r="G993" s="3175" t="s">
        <v>4288</v>
      </c>
      <c r="H993" s="3178">
        <v>-2101</v>
      </c>
      <c r="I993" s="3179">
        <v>7.55</v>
      </c>
      <c r="J993" s="3179">
        <v>2.38</v>
      </c>
      <c r="L993" s="3177">
        <v>991</v>
      </c>
      <c r="M993" s="3175">
        <v>-10205</v>
      </c>
      <c r="N993" s="3175" t="s">
        <v>4187</v>
      </c>
      <c r="O993" s="3176">
        <v>26.98</v>
      </c>
      <c r="P993" s="3176">
        <v>8.49</v>
      </c>
    </row>
    <row r="994" spans="1:16" ht="15" thickBot="1">
      <c r="A994" s="3174">
        <v>992</v>
      </c>
      <c r="B994" s="3175" t="s">
        <v>4428</v>
      </c>
      <c r="C994" s="3176">
        <v>112.45</v>
      </c>
      <c r="D994" s="3176">
        <v>35.4</v>
      </c>
      <c r="F994" s="3177">
        <v>992</v>
      </c>
      <c r="G994" s="3175" t="s">
        <v>4288</v>
      </c>
      <c r="H994" s="3178">
        <v>-2102</v>
      </c>
      <c r="I994" s="3179">
        <v>7.33</v>
      </c>
      <c r="J994" s="3179">
        <v>2.31</v>
      </c>
      <c r="L994" s="3177">
        <v>992</v>
      </c>
      <c r="M994" s="3175">
        <v>-10206</v>
      </c>
      <c r="N994" s="3175" t="s">
        <v>4187</v>
      </c>
      <c r="O994" s="3176">
        <v>26.98</v>
      </c>
      <c r="P994" s="3176">
        <v>8.49</v>
      </c>
    </row>
    <row r="995" spans="1:16" ht="15" thickBot="1">
      <c r="A995" s="3174">
        <v>993</v>
      </c>
      <c r="B995" s="3175" t="s">
        <v>4429</v>
      </c>
      <c r="C995" s="3176">
        <v>89.26</v>
      </c>
      <c r="D995" s="3176">
        <v>28.1</v>
      </c>
      <c r="F995" s="3177">
        <v>993</v>
      </c>
      <c r="G995" s="3175" t="s">
        <v>4288</v>
      </c>
      <c r="H995" s="3178">
        <v>-2103</v>
      </c>
      <c r="I995" s="3179">
        <v>7.33</v>
      </c>
      <c r="J995" s="3179">
        <v>2.31</v>
      </c>
      <c r="L995" s="3177">
        <v>993</v>
      </c>
      <c r="M995" s="3175">
        <v>-10207</v>
      </c>
      <c r="N995" s="3175" t="s">
        <v>4187</v>
      </c>
      <c r="O995" s="3176">
        <v>26.98</v>
      </c>
      <c r="P995" s="3176">
        <v>8.49</v>
      </c>
    </row>
    <row r="996" spans="1:16" ht="15" thickBot="1">
      <c r="A996" s="3174">
        <v>994</v>
      </c>
      <c r="B996" s="3175" t="s">
        <v>4430</v>
      </c>
      <c r="C996" s="3176">
        <v>88.97</v>
      </c>
      <c r="D996" s="3176">
        <v>28.01</v>
      </c>
      <c r="F996" s="3177">
        <v>994</v>
      </c>
      <c r="G996" s="3175" t="s">
        <v>4288</v>
      </c>
      <c r="H996" s="3178">
        <v>-2104</v>
      </c>
      <c r="I996" s="3179">
        <v>7.64</v>
      </c>
      <c r="J996" s="3179">
        <v>2.41</v>
      </c>
      <c r="L996" s="3177">
        <v>994</v>
      </c>
      <c r="M996" s="3175">
        <v>-10208</v>
      </c>
      <c r="N996" s="3175" t="s">
        <v>4187</v>
      </c>
      <c r="O996" s="3176">
        <v>26.98</v>
      </c>
      <c r="P996" s="3176">
        <v>8.49</v>
      </c>
    </row>
    <row r="997" spans="1:16" ht="15" thickBot="1">
      <c r="A997" s="3174">
        <v>995</v>
      </c>
      <c r="B997" s="3175" t="s">
        <v>4431</v>
      </c>
      <c r="C997" s="3176">
        <v>88.97</v>
      </c>
      <c r="D997" s="3176">
        <v>28.01</v>
      </c>
      <c r="F997" s="3177">
        <v>995</v>
      </c>
      <c r="G997" s="3175" t="s">
        <v>4288</v>
      </c>
      <c r="H997" s="3178">
        <v>-2105</v>
      </c>
      <c r="I997" s="3179">
        <v>7.64</v>
      </c>
      <c r="J997" s="3179">
        <v>2.41</v>
      </c>
      <c r="L997" s="3177">
        <v>995</v>
      </c>
      <c r="M997" s="3175">
        <v>-10209</v>
      </c>
      <c r="N997" s="3175" t="s">
        <v>4187</v>
      </c>
      <c r="O997" s="3176">
        <v>26.98</v>
      </c>
      <c r="P997" s="3176">
        <v>8.49</v>
      </c>
    </row>
    <row r="998" spans="1:16" ht="15" thickBot="1">
      <c r="A998" s="3174">
        <v>996</v>
      </c>
      <c r="B998" s="3175" t="s">
        <v>4432</v>
      </c>
      <c r="C998" s="3176">
        <v>112.45</v>
      </c>
      <c r="D998" s="3176">
        <v>35.4</v>
      </c>
      <c r="F998" s="3177">
        <v>996</v>
      </c>
      <c r="G998" s="3175" t="s">
        <v>4288</v>
      </c>
      <c r="H998" s="3178">
        <v>-2106</v>
      </c>
      <c r="I998" s="3179">
        <v>7.33</v>
      </c>
      <c r="J998" s="3179">
        <v>2.31</v>
      </c>
      <c r="L998" s="3177">
        <v>996</v>
      </c>
      <c r="M998" s="3175">
        <v>-10210</v>
      </c>
      <c r="N998" s="3175" t="s">
        <v>4187</v>
      </c>
      <c r="O998" s="3176">
        <v>26.98</v>
      </c>
      <c r="P998" s="3176">
        <v>8.49</v>
      </c>
    </row>
    <row r="999" spans="1:16" ht="15" thickBot="1">
      <c r="A999" s="3174">
        <v>997</v>
      </c>
      <c r="B999" s="3175" t="s">
        <v>4433</v>
      </c>
      <c r="C999" s="3176">
        <v>89.26</v>
      </c>
      <c r="D999" s="3176">
        <v>28.1</v>
      </c>
      <c r="F999" s="3177">
        <v>997</v>
      </c>
      <c r="G999" s="3175" t="s">
        <v>4288</v>
      </c>
      <c r="H999" s="3178">
        <v>-2107</v>
      </c>
      <c r="I999" s="3179">
        <v>7.33</v>
      </c>
      <c r="J999" s="3179">
        <v>2.31</v>
      </c>
      <c r="L999" s="3177">
        <v>997</v>
      </c>
      <c r="M999" s="3175">
        <v>-10211</v>
      </c>
      <c r="N999" s="3175" t="s">
        <v>4187</v>
      </c>
      <c r="O999" s="3176">
        <v>26.98</v>
      </c>
      <c r="P999" s="3176">
        <v>8.49</v>
      </c>
    </row>
    <row r="1000" spans="1:16" ht="15" thickBot="1">
      <c r="A1000" s="3174">
        <v>998</v>
      </c>
      <c r="B1000" s="3175" t="s">
        <v>4434</v>
      </c>
      <c r="C1000" s="3176">
        <v>88.97</v>
      </c>
      <c r="D1000" s="3176">
        <v>28.01</v>
      </c>
      <c r="F1000" s="3177">
        <v>998</v>
      </c>
      <c r="G1000" s="3175" t="s">
        <v>4288</v>
      </c>
      <c r="H1000" s="3178">
        <v>-2108</v>
      </c>
      <c r="I1000" s="3179">
        <v>7.55</v>
      </c>
      <c r="J1000" s="3179">
        <v>2.38</v>
      </c>
      <c r="L1000" s="3177">
        <v>998</v>
      </c>
      <c r="M1000" s="3175">
        <v>-10212</v>
      </c>
      <c r="N1000" s="3175" t="s">
        <v>4187</v>
      </c>
      <c r="O1000" s="3176">
        <v>26.98</v>
      </c>
      <c r="P1000" s="3176">
        <v>8.49</v>
      </c>
    </row>
    <row r="1001" spans="1:16" ht="15" thickBot="1">
      <c r="A1001" s="3174">
        <v>999</v>
      </c>
      <c r="B1001" s="3175" t="s">
        <v>4435</v>
      </c>
      <c r="C1001" s="3176">
        <v>88.97</v>
      </c>
      <c r="D1001" s="3176">
        <v>28.01</v>
      </c>
      <c r="F1001" s="3177">
        <v>999</v>
      </c>
      <c r="G1001" s="3175" t="s">
        <v>4288</v>
      </c>
      <c r="H1001" s="3178">
        <v>-2109</v>
      </c>
      <c r="I1001" s="3179">
        <v>8.83</v>
      </c>
      <c r="J1001" s="3179">
        <v>2.78</v>
      </c>
      <c r="L1001" s="3177">
        <v>999</v>
      </c>
      <c r="M1001" s="3175">
        <v>-10213</v>
      </c>
      <c r="N1001" s="3175" t="s">
        <v>4187</v>
      </c>
      <c r="O1001" s="3176">
        <v>26.98</v>
      </c>
      <c r="P1001" s="3176">
        <v>8.49</v>
      </c>
    </row>
    <row r="1002" spans="1:16" ht="15" thickBot="1">
      <c r="A1002" s="3174">
        <v>1000</v>
      </c>
      <c r="B1002" s="3175" t="s">
        <v>4436</v>
      </c>
      <c r="C1002" s="3176">
        <v>112.45</v>
      </c>
      <c r="D1002" s="3176">
        <v>35.4</v>
      </c>
      <c r="F1002" s="3177">
        <v>1000</v>
      </c>
      <c r="G1002" s="3175" t="s">
        <v>4288</v>
      </c>
      <c r="H1002" s="3178">
        <v>-2110</v>
      </c>
      <c r="I1002" s="3179">
        <v>8.9600000000000009</v>
      </c>
      <c r="J1002" s="3179">
        <v>2.82</v>
      </c>
      <c r="L1002" s="3177">
        <v>1000</v>
      </c>
      <c r="M1002" s="3175">
        <v>-10214</v>
      </c>
      <c r="N1002" s="3175" t="s">
        <v>4187</v>
      </c>
      <c r="O1002" s="3176">
        <v>26.98</v>
      </c>
      <c r="P1002" s="3176">
        <v>8.49</v>
      </c>
    </row>
    <row r="1003" spans="1:16" ht="15" thickBot="1">
      <c r="A1003" s="3174">
        <v>1001</v>
      </c>
      <c r="B1003" s="3175" t="s">
        <v>4437</v>
      </c>
      <c r="C1003" s="3176">
        <v>89.26</v>
      </c>
      <c r="D1003" s="3176">
        <v>28.1</v>
      </c>
      <c r="F1003" s="3177">
        <v>1001</v>
      </c>
      <c r="G1003" s="3175" t="s">
        <v>4288</v>
      </c>
      <c r="H1003" s="3178">
        <v>-2111</v>
      </c>
      <c r="I1003" s="3179">
        <v>8.83</v>
      </c>
      <c r="J1003" s="3179">
        <v>2.78</v>
      </c>
      <c r="L1003" s="3177">
        <v>1001</v>
      </c>
      <c r="M1003" s="3175">
        <v>-10215</v>
      </c>
      <c r="N1003" s="3175" t="s">
        <v>4187</v>
      </c>
      <c r="O1003" s="3176">
        <v>26.98</v>
      </c>
      <c r="P1003" s="3176">
        <v>8.49</v>
      </c>
    </row>
    <row r="1004" spans="1:16" ht="15" thickBot="1">
      <c r="A1004" s="3174">
        <v>1002</v>
      </c>
      <c r="B1004" s="3175" t="s">
        <v>4438</v>
      </c>
      <c r="C1004" s="3176">
        <v>88.97</v>
      </c>
      <c r="D1004" s="3176">
        <v>28.01</v>
      </c>
      <c r="F1004" s="3177">
        <v>1002</v>
      </c>
      <c r="G1004" s="3175" t="s">
        <v>4288</v>
      </c>
      <c r="H1004" s="3178">
        <v>-2112</v>
      </c>
      <c r="I1004" s="3179">
        <v>10.87</v>
      </c>
      <c r="J1004" s="3179">
        <v>3.42</v>
      </c>
      <c r="L1004" s="3177">
        <v>1002</v>
      </c>
      <c r="M1004" s="3175">
        <v>-10216</v>
      </c>
      <c r="N1004" s="3175" t="s">
        <v>4187</v>
      </c>
      <c r="O1004" s="3176">
        <v>26.98</v>
      </c>
      <c r="P1004" s="3176">
        <v>8.49</v>
      </c>
    </row>
    <row r="1005" spans="1:16" ht="15" thickBot="1">
      <c r="A1005" s="3174">
        <v>1003</v>
      </c>
      <c r="B1005" s="3175" t="s">
        <v>4439</v>
      </c>
      <c r="C1005" s="3176">
        <v>88.97</v>
      </c>
      <c r="D1005" s="3176">
        <v>28.01</v>
      </c>
      <c r="F1005" s="3177">
        <v>1003</v>
      </c>
      <c r="G1005" s="3175" t="s">
        <v>4288</v>
      </c>
      <c r="H1005" s="3178">
        <v>-2113</v>
      </c>
      <c r="I1005" s="3179">
        <v>8.14</v>
      </c>
      <c r="J1005" s="3179">
        <v>2.56</v>
      </c>
      <c r="L1005" s="3177">
        <v>1003</v>
      </c>
      <c r="M1005" s="3175">
        <v>-10217</v>
      </c>
      <c r="N1005" s="3175" t="s">
        <v>4187</v>
      </c>
      <c r="O1005" s="3176">
        <v>26.98</v>
      </c>
      <c r="P1005" s="3176">
        <v>8.49</v>
      </c>
    </row>
    <row r="1006" spans="1:16" ht="15" thickBot="1">
      <c r="A1006" s="3174">
        <v>1004</v>
      </c>
      <c r="B1006" s="3175" t="s">
        <v>4440</v>
      </c>
      <c r="C1006" s="3176">
        <v>112.45</v>
      </c>
      <c r="D1006" s="3176">
        <v>35.4</v>
      </c>
      <c r="F1006" s="3177">
        <v>1004</v>
      </c>
      <c r="G1006" s="3175" t="s">
        <v>4288</v>
      </c>
      <c r="H1006" s="3178">
        <v>-2114</v>
      </c>
      <c r="I1006" s="3179">
        <v>8.14</v>
      </c>
      <c r="J1006" s="3179">
        <v>2.56</v>
      </c>
      <c r="L1006" s="3177">
        <v>1004</v>
      </c>
      <c r="M1006" s="3175">
        <v>-10218</v>
      </c>
      <c r="N1006" s="3175" t="s">
        <v>4187</v>
      </c>
      <c r="O1006" s="3176">
        <v>26.98</v>
      </c>
      <c r="P1006" s="3176">
        <v>8.49</v>
      </c>
    </row>
    <row r="1007" spans="1:16" ht="15" thickBot="1">
      <c r="A1007" s="3174">
        <v>1005</v>
      </c>
      <c r="B1007" s="3175" t="s">
        <v>4441</v>
      </c>
      <c r="C1007" s="3176">
        <v>89.26</v>
      </c>
      <c r="D1007" s="3176">
        <v>28.1</v>
      </c>
      <c r="F1007" s="3177">
        <v>1005</v>
      </c>
      <c r="G1007" s="3175" t="s">
        <v>4442</v>
      </c>
      <c r="H1007" s="3178">
        <v>-1001</v>
      </c>
      <c r="I1007" s="3179">
        <v>16.399999999999999</v>
      </c>
      <c r="J1007" s="3179">
        <v>5.16</v>
      </c>
      <c r="L1007" s="3177">
        <v>1005</v>
      </c>
      <c r="M1007" s="3175">
        <v>-10219</v>
      </c>
      <c r="N1007" s="3175" t="s">
        <v>4187</v>
      </c>
      <c r="O1007" s="3176">
        <v>26.98</v>
      </c>
      <c r="P1007" s="3176">
        <v>8.49</v>
      </c>
    </row>
    <row r="1008" spans="1:16" ht="15" thickBot="1">
      <c r="A1008" s="3174">
        <v>1006</v>
      </c>
      <c r="B1008" s="3175" t="s">
        <v>4443</v>
      </c>
      <c r="C1008" s="3176">
        <v>88.97</v>
      </c>
      <c r="D1008" s="3176">
        <v>28.01</v>
      </c>
      <c r="F1008" s="3177">
        <v>1006</v>
      </c>
      <c r="G1008" s="3175" t="s">
        <v>4442</v>
      </c>
      <c r="H1008" s="3178">
        <v>-1002</v>
      </c>
      <c r="I1008" s="3179">
        <v>16.170000000000002</v>
      </c>
      <c r="J1008" s="3179">
        <v>5.09</v>
      </c>
      <c r="L1008" s="3177">
        <v>1006</v>
      </c>
      <c r="M1008" s="3175">
        <v>-10220</v>
      </c>
      <c r="N1008" s="3175" t="s">
        <v>4187</v>
      </c>
      <c r="O1008" s="3176">
        <v>26.98</v>
      </c>
      <c r="P1008" s="3176">
        <v>8.49</v>
      </c>
    </row>
    <row r="1009" spans="1:16" ht="15" thickBot="1">
      <c r="A1009" s="3174">
        <v>1007</v>
      </c>
      <c r="B1009" s="3175" t="s">
        <v>4444</v>
      </c>
      <c r="C1009" s="3176">
        <v>88.97</v>
      </c>
      <c r="D1009" s="3176">
        <v>28.01</v>
      </c>
      <c r="F1009" s="3177">
        <v>1007</v>
      </c>
      <c r="G1009" s="3175" t="s">
        <v>4442</v>
      </c>
      <c r="H1009" s="3178">
        <v>-1003</v>
      </c>
      <c r="I1009" s="3179">
        <v>15.15</v>
      </c>
      <c r="J1009" s="3179">
        <v>4.7699999999999996</v>
      </c>
      <c r="L1009" s="3177">
        <v>1007</v>
      </c>
      <c r="M1009" s="3175">
        <v>-10221</v>
      </c>
      <c r="N1009" s="3175" t="s">
        <v>4187</v>
      </c>
      <c r="O1009" s="3176">
        <v>26.98</v>
      </c>
      <c r="P1009" s="3176">
        <v>8.49</v>
      </c>
    </row>
    <row r="1010" spans="1:16" ht="15" thickBot="1">
      <c r="A1010" s="3174">
        <v>1008</v>
      </c>
      <c r="B1010" s="3175" t="s">
        <v>4445</v>
      </c>
      <c r="C1010" s="3176">
        <v>112.45</v>
      </c>
      <c r="D1010" s="3176">
        <v>35.4</v>
      </c>
      <c r="F1010" s="3177">
        <v>1008</v>
      </c>
      <c r="G1010" s="3175" t="s">
        <v>4442</v>
      </c>
      <c r="H1010" s="3178">
        <v>-1004</v>
      </c>
      <c r="I1010" s="3179">
        <v>20.89</v>
      </c>
      <c r="J1010" s="3179">
        <v>6.58</v>
      </c>
      <c r="L1010" s="3177">
        <v>1008</v>
      </c>
      <c r="M1010" s="3175">
        <v>-10222</v>
      </c>
      <c r="N1010" s="3175" t="s">
        <v>4187</v>
      </c>
      <c r="O1010" s="3176">
        <v>26.98</v>
      </c>
      <c r="P1010" s="3176">
        <v>8.49</v>
      </c>
    </row>
    <row r="1011" spans="1:16" ht="15" thickBot="1">
      <c r="A1011" s="3174">
        <v>1009</v>
      </c>
      <c r="B1011" s="3175" t="s">
        <v>4446</v>
      </c>
      <c r="C1011" s="3176">
        <v>89.26</v>
      </c>
      <c r="D1011" s="3176">
        <v>28.1</v>
      </c>
      <c r="F1011" s="3177">
        <v>1009</v>
      </c>
      <c r="G1011" s="3175" t="s">
        <v>4442</v>
      </c>
      <c r="H1011" s="3178">
        <v>-1005</v>
      </c>
      <c r="I1011" s="3179">
        <v>9.61</v>
      </c>
      <c r="J1011" s="3179">
        <v>3.03</v>
      </c>
      <c r="L1011" s="3177">
        <v>1009</v>
      </c>
      <c r="M1011" s="3175">
        <v>-10223</v>
      </c>
      <c r="N1011" s="3175" t="s">
        <v>4187</v>
      </c>
      <c r="O1011" s="3176">
        <v>26.98</v>
      </c>
      <c r="P1011" s="3176">
        <v>8.49</v>
      </c>
    </row>
    <row r="1012" spans="1:16" ht="15" thickBot="1">
      <c r="A1012" s="3174">
        <v>1010</v>
      </c>
      <c r="B1012" s="3175" t="s">
        <v>4447</v>
      </c>
      <c r="C1012" s="3176">
        <v>88.97</v>
      </c>
      <c r="D1012" s="3176">
        <v>28.01</v>
      </c>
      <c r="F1012" s="3177">
        <v>1010</v>
      </c>
      <c r="G1012" s="3175" t="s">
        <v>4442</v>
      </c>
      <c r="H1012" s="3178">
        <v>-1006</v>
      </c>
      <c r="I1012" s="3179">
        <v>9.35</v>
      </c>
      <c r="J1012" s="3179">
        <v>2.94</v>
      </c>
      <c r="L1012" s="3177">
        <v>1010</v>
      </c>
      <c r="M1012" s="3175">
        <v>-10224</v>
      </c>
      <c r="N1012" s="3175" t="s">
        <v>4187</v>
      </c>
      <c r="O1012" s="3176">
        <v>26.98</v>
      </c>
      <c r="P1012" s="3176">
        <v>8.49</v>
      </c>
    </row>
    <row r="1013" spans="1:16" ht="15" thickBot="1">
      <c r="A1013" s="3174">
        <v>1011</v>
      </c>
      <c r="B1013" s="3175" t="s">
        <v>4448</v>
      </c>
      <c r="C1013" s="3176">
        <v>88.97</v>
      </c>
      <c r="D1013" s="3176">
        <v>28.01</v>
      </c>
      <c r="F1013" s="3177">
        <v>1011</v>
      </c>
      <c r="G1013" s="3175" t="s">
        <v>4442</v>
      </c>
      <c r="H1013" s="3178">
        <v>-1007</v>
      </c>
      <c r="I1013" s="3179">
        <v>14.6</v>
      </c>
      <c r="J1013" s="3179">
        <v>4.5999999999999996</v>
      </c>
      <c r="L1013" s="3177">
        <v>1011</v>
      </c>
      <c r="M1013" s="3175">
        <v>-10225</v>
      </c>
      <c r="N1013" s="3175" t="s">
        <v>4187</v>
      </c>
      <c r="O1013" s="3176">
        <v>26.98</v>
      </c>
      <c r="P1013" s="3176">
        <v>8.49</v>
      </c>
    </row>
    <row r="1014" spans="1:16" ht="15" thickBot="1">
      <c r="A1014" s="3174">
        <v>1012</v>
      </c>
      <c r="B1014" s="3175" t="s">
        <v>4449</v>
      </c>
      <c r="C1014" s="3176">
        <v>112.45</v>
      </c>
      <c r="D1014" s="3176">
        <v>35.4</v>
      </c>
      <c r="F1014" s="3177">
        <v>1012</v>
      </c>
      <c r="G1014" s="3175" t="s">
        <v>4442</v>
      </c>
      <c r="H1014" s="3178">
        <v>-1008</v>
      </c>
      <c r="I1014" s="3179">
        <v>14.15</v>
      </c>
      <c r="J1014" s="3179">
        <v>4.45</v>
      </c>
      <c r="L1014" s="3177">
        <v>1012</v>
      </c>
      <c r="M1014" s="3175">
        <v>-10226</v>
      </c>
      <c r="N1014" s="3175" t="s">
        <v>4187</v>
      </c>
      <c r="O1014" s="3176">
        <v>26.98</v>
      </c>
      <c r="P1014" s="3176">
        <v>8.49</v>
      </c>
    </row>
    <row r="1015" spans="1:16" ht="15" thickBot="1">
      <c r="A1015" s="3174">
        <v>1013</v>
      </c>
      <c r="B1015" s="3175" t="s">
        <v>4450</v>
      </c>
      <c r="C1015" s="3176">
        <v>89.26</v>
      </c>
      <c r="D1015" s="3176">
        <v>28.1</v>
      </c>
      <c r="F1015" s="3177">
        <v>1013</v>
      </c>
      <c r="G1015" s="3175" t="s">
        <v>4442</v>
      </c>
      <c r="H1015" s="3178">
        <v>-1009</v>
      </c>
      <c r="I1015" s="3179">
        <v>14.6</v>
      </c>
      <c r="J1015" s="3179">
        <v>4.5999999999999996</v>
      </c>
      <c r="L1015" s="3177">
        <v>1013</v>
      </c>
      <c r="M1015" s="3175">
        <v>-10227</v>
      </c>
      <c r="N1015" s="3175" t="s">
        <v>4187</v>
      </c>
      <c r="O1015" s="3176">
        <v>26.98</v>
      </c>
      <c r="P1015" s="3176">
        <v>8.49</v>
      </c>
    </row>
    <row r="1016" spans="1:16" ht="15" thickBot="1">
      <c r="A1016" s="3174">
        <v>1014</v>
      </c>
      <c r="B1016" s="3175" t="s">
        <v>4451</v>
      </c>
      <c r="C1016" s="3176">
        <v>88.97</v>
      </c>
      <c r="D1016" s="3176">
        <v>28.01</v>
      </c>
      <c r="F1016" s="3177">
        <v>1014</v>
      </c>
      <c r="G1016" s="3175" t="s">
        <v>4442</v>
      </c>
      <c r="H1016" s="3178">
        <v>-1010</v>
      </c>
      <c r="I1016" s="3179">
        <v>14.6</v>
      </c>
      <c r="J1016" s="3179">
        <v>4.5999999999999996</v>
      </c>
      <c r="L1016" s="3177">
        <v>1014</v>
      </c>
      <c r="M1016" s="3175">
        <v>-10228</v>
      </c>
      <c r="N1016" s="3175" t="s">
        <v>4187</v>
      </c>
      <c r="O1016" s="3176">
        <v>26.98</v>
      </c>
      <c r="P1016" s="3176">
        <v>8.49</v>
      </c>
    </row>
    <row r="1017" spans="1:16" ht="15" thickBot="1">
      <c r="A1017" s="3174">
        <v>1015</v>
      </c>
      <c r="B1017" s="3175" t="s">
        <v>4452</v>
      </c>
      <c r="C1017" s="3176">
        <v>88.97</v>
      </c>
      <c r="D1017" s="3176">
        <v>28.01</v>
      </c>
      <c r="F1017" s="3177">
        <v>1015</v>
      </c>
      <c r="G1017" s="3175" t="s">
        <v>4442</v>
      </c>
      <c r="H1017" s="3178">
        <v>-1011</v>
      </c>
      <c r="I1017" s="3179">
        <v>14.6</v>
      </c>
      <c r="J1017" s="3179">
        <v>4.5999999999999996</v>
      </c>
      <c r="L1017" s="3177">
        <v>1015</v>
      </c>
      <c r="M1017" s="3175">
        <v>-10229</v>
      </c>
      <c r="N1017" s="3175" t="s">
        <v>4187</v>
      </c>
      <c r="O1017" s="3176">
        <v>26.98</v>
      </c>
      <c r="P1017" s="3176">
        <v>8.49</v>
      </c>
    </row>
    <row r="1018" spans="1:16" ht="15" thickBot="1">
      <c r="A1018" s="3174">
        <v>1016</v>
      </c>
      <c r="B1018" s="3175" t="s">
        <v>4453</v>
      </c>
      <c r="C1018" s="3176">
        <v>112.45</v>
      </c>
      <c r="D1018" s="3176">
        <v>35.4</v>
      </c>
      <c r="F1018" s="3177">
        <v>1016</v>
      </c>
      <c r="G1018" s="3175" t="s">
        <v>4442</v>
      </c>
      <c r="H1018" s="3178">
        <v>-1012</v>
      </c>
      <c r="I1018" s="3179">
        <v>8.02</v>
      </c>
      <c r="J1018" s="3179">
        <v>2.5299999999999998</v>
      </c>
      <c r="L1018" s="3177">
        <v>1016</v>
      </c>
      <c r="M1018" s="3175">
        <v>-10230</v>
      </c>
      <c r="N1018" s="3175" t="s">
        <v>4187</v>
      </c>
      <c r="O1018" s="3176">
        <v>26.98</v>
      </c>
      <c r="P1018" s="3176">
        <v>8.49</v>
      </c>
    </row>
    <row r="1019" spans="1:16" ht="15" thickBot="1">
      <c r="A1019" s="3174">
        <v>1017</v>
      </c>
      <c r="B1019" s="3175" t="s">
        <v>4454</v>
      </c>
      <c r="C1019" s="3176">
        <v>89.26</v>
      </c>
      <c r="D1019" s="3176">
        <v>28.1</v>
      </c>
      <c r="F1019" s="3177">
        <v>1017</v>
      </c>
      <c r="G1019" s="3175" t="s">
        <v>4442</v>
      </c>
      <c r="H1019" s="3178">
        <v>-1013</v>
      </c>
      <c r="I1019" s="3179">
        <v>8.24</v>
      </c>
      <c r="J1019" s="3179">
        <v>2.59</v>
      </c>
      <c r="L1019" s="3177">
        <v>1017</v>
      </c>
      <c r="M1019" s="3175">
        <v>-10231</v>
      </c>
      <c r="N1019" s="3175" t="s">
        <v>4187</v>
      </c>
      <c r="O1019" s="3176">
        <v>26.98</v>
      </c>
      <c r="P1019" s="3176">
        <v>8.49</v>
      </c>
    </row>
    <row r="1020" spans="1:16" ht="15" thickBot="1">
      <c r="A1020" s="3174">
        <v>1018</v>
      </c>
      <c r="B1020" s="3175" t="s">
        <v>4455</v>
      </c>
      <c r="C1020" s="3176">
        <v>88.97</v>
      </c>
      <c r="D1020" s="3176">
        <v>28.01</v>
      </c>
      <c r="F1020" s="3177">
        <v>1018</v>
      </c>
      <c r="G1020" s="3175" t="s">
        <v>4442</v>
      </c>
      <c r="H1020" s="3178">
        <v>-1014</v>
      </c>
      <c r="I1020" s="3179">
        <v>12.34</v>
      </c>
      <c r="J1020" s="3179">
        <v>3.89</v>
      </c>
      <c r="L1020" s="3177">
        <v>1018</v>
      </c>
      <c r="M1020" s="3175">
        <v>-10232</v>
      </c>
      <c r="N1020" s="3175" t="s">
        <v>4187</v>
      </c>
      <c r="O1020" s="3176">
        <v>26.98</v>
      </c>
      <c r="P1020" s="3176">
        <v>8.49</v>
      </c>
    </row>
    <row r="1021" spans="1:16" ht="15" thickBot="1">
      <c r="A1021" s="3174">
        <v>1019</v>
      </c>
      <c r="B1021" s="3175" t="s">
        <v>4456</v>
      </c>
      <c r="C1021" s="3176">
        <v>88.97</v>
      </c>
      <c r="D1021" s="3176">
        <v>28.01</v>
      </c>
      <c r="F1021" s="3177">
        <v>1019</v>
      </c>
      <c r="G1021" s="3175" t="s">
        <v>4442</v>
      </c>
      <c r="H1021" s="3178">
        <v>-1015</v>
      </c>
      <c r="I1021" s="3179">
        <v>15.12</v>
      </c>
      <c r="J1021" s="3179">
        <v>4.76</v>
      </c>
      <c r="L1021" s="3177">
        <v>1019</v>
      </c>
      <c r="M1021" s="3175">
        <v>-10233</v>
      </c>
      <c r="N1021" s="3175" t="s">
        <v>4187</v>
      </c>
      <c r="O1021" s="3176">
        <v>26.98</v>
      </c>
      <c r="P1021" s="3176">
        <v>8.49</v>
      </c>
    </row>
    <row r="1022" spans="1:16" ht="15" thickBot="1">
      <c r="A1022" s="3174">
        <v>1020</v>
      </c>
      <c r="B1022" s="3175" t="s">
        <v>4457</v>
      </c>
      <c r="C1022" s="3176">
        <v>112.45</v>
      </c>
      <c r="D1022" s="3176">
        <v>35.4</v>
      </c>
      <c r="F1022" s="3177">
        <v>1020</v>
      </c>
      <c r="G1022" s="3175" t="s">
        <v>4442</v>
      </c>
      <c r="H1022" s="3178">
        <v>-1016</v>
      </c>
      <c r="I1022" s="3179">
        <v>17.850000000000001</v>
      </c>
      <c r="J1022" s="3179">
        <v>5.62</v>
      </c>
      <c r="L1022" s="3177">
        <v>1020</v>
      </c>
      <c r="M1022" s="3175">
        <v>-10234</v>
      </c>
      <c r="N1022" s="3175" t="s">
        <v>4187</v>
      </c>
      <c r="O1022" s="3176">
        <v>26.98</v>
      </c>
      <c r="P1022" s="3176">
        <v>8.49</v>
      </c>
    </row>
    <row r="1023" spans="1:16" ht="15" thickBot="1">
      <c r="A1023" s="3174">
        <v>1021</v>
      </c>
      <c r="B1023" s="3175" t="s">
        <v>4458</v>
      </c>
      <c r="C1023" s="3176">
        <v>89.26</v>
      </c>
      <c r="D1023" s="3176">
        <v>28.1</v>
      </c>
      <c r="F1023" s="3177">
        <v>1021</v>
      </c>
      <c r="G1023" s="3175" t="s">
        <v>4442</v>
      </c>
      <c r="H1023" s="3178">
        <v>-1017</v>
      </c>
      <c r="I1023" s="3179">
        <v>9.23</v>
      </c>
      <c r="J1023" s="3179">
        <v>2.91</v>
      </c>
      <c r="L1023" s="3177">
        <v>1021</v>
      </c>
      <c r="M1023" s="3175">
        <v>-10235</v>
      </c>
      <c r="N1023" s="3175" t="s">
        <v>4187</v>
      </c>
      <c r="O1023" s="3176">
        <v>26.98</v>
      </c>
      <c r="P1023" s="3176">
        <v>8.49</v>
      </c>
    </row>
    <row r="1024" spans="1:16" ht="15" thickBot="1">
      <c r="A1024" s="3174">
        <v>1022</v>
      </c>
      <c r="B1024" s="3175" t="s">
        <v>4459</v>
      </c>
      <c r="C1024" s="3176">
        <v>88.97</v>
      </c>
      <c r="D1024" s="3176">
        <v>28.01</v>
      </c>
      <c r="F1024" s="3177">
        <v>1022</v>
      </c>
      <c r="G1024" s="3175" t="s">
        <v>4442</v>
      </c>
      <c r="H1024" s="3178">
        <v>-1018</v>
      </c>
      <c r="I1024" s="3179">
        <v>9.23</v>
      </c>
      <c r="J1024" s="3179">
        <v>2.91</v>
      </c>
      <c r="L1024" s="3177">
        <v>1022</v>
      </c>
      <c r="M1024" s="3175">
        <v>-10236</v>
      </c>
      <c r="N1024" s="3175" t="s">
        <v>4187</v>
      </c>
      <c r="O1024" s="3176">
        <v>26.98</v>
      </c>
      <c r="P1024" s="3176">
        <v>8.49</v>
      </c>
    </row>
    <row r="1025" spans="1:16" ht="15" thickBot="1">
      <c r="A1025" s="3174">
        <v>1023</v>
      </c>
      <c r="B1025" s="3175" t="s">
        <v>4460</v>
      </c>
      <c r="C1025" s="3176">
        <v>88.97</v>
      </c>
      <c r="D1025" s="3176">
        <v>28.01</v>
      </c>
      <c r="F1025" s="3177">
        <v>1023</v>
      </c>
      <c r="G1025" s="3175" t="s">
        <v>4442</v>
      </c>
      <c r="H1025" s="3178">
        <v>-1019</v>
      </c>
      <c r="I1025" s="3179">
        <v>9.23</v>
      </c>
      <c r="J1025" s="3179">
        <v>2.91</v>
      </c>
      <c r="L1025" s="3177">
        <v>1023</v>
      </c>
      <c r="M1025" s="3175">
        <v>-10237</v>
      </c>
      <c r="N1025" s="3175" t="s">
        <v>4187</v>
      </c>
      <c r="O1025" s="3176">
        <v>26.98</v>
      </c>
      <c r="P1025" s="3176">
        <v>8.49</v>
      </c>
    </row>
    <row r="1026" spans="1:16" ht="15" thickBot="1">
      <c r="A1026" s="3174">
        <v>1024</v>
      </c>
      <c r="B1026" s="3175" t="s">
        <v>4461</v>
      </c>
      <c r="C1026" s="3176">
        <v>112.45</v>
      </c>
      <c r="D1026" s="3176">
        <v>35.4</v>
      </c>
      <c r="F1026" s="3177">
        <v>1024</v>
      </c>
      <c r="G1026" s="3175" t="s">
        <v>4442</v>
      </c>
      <c r="H1026" s="3178">
        <v>-1020</v>
      </c>
      <c r="I1026" s="3179">
        <v>9.23</v>
      </c>
      <c r="J1026" s="3179">
        <v>2.91</v>
      </c>
      <c r="L1026" s="3177">
        <v>1024</v>
      </c>
      <c r="M1026" s="3175">
        <v>-10238</v>
      </c>
      <c r="N1026" s="3175" t="s">
        <v>4187</v>
      </c>
      <c r="O1026" s="3176">
        <v>26.98</v>
      </c>
      <c r="P1026" s="3176">
        <v>8.49</v>
      </c>
    </row>
    <row r="1027" spans="1:16" ht="15" thickBot="1">
      <c r="A1027" s="3174">
        <v>1025</v>
      </c>
      <c r="B1027" s="3175" t="s">
        <v>4462</v>
      </c>
      <c r="C1027" s="3176">
        <v>89.26</v>
      </c>
      <c r="D1027" s="3176">
        <v>28.1</v>
      </c>
      <c r="F1027" s="3177">
        <v>1025</v>
      </c>
      <c r="G1027" s="3175" t="s">
        <v>4442</v>
      </c>
      <c r="H1027" s="3178">
        <v>-1021</v>
      </c>
      <c r="I1027" s="3179">
        <v>13.27</v>
      </c>
      <c r="J1027" s="3179">
        <v>4.18</v>
      </c>
      <c r="L1027" s="3177">
        <v>1025</v>
      </c>
      <c r="M1027" s="3175">
        <v>-10239</v>
      </c>
      <c r="N1027" s="3175" t="s">
        <v>4187</v>
      </c>
      <c r="O1027" s="3176">
        <v>26.98</v>
      </c>
      <c r="P1027" s="3176">
        <v>8.49</v>
      </c>
    </row>
    <row r="1028" spans="1:16" ht="15" thickBot="1">
      <c r="A1028" s="3174">
        <v>1026</v>
      </c>
      <c r="B1028" s="3175" t="s">
        <v>4463</v>
      </c>
      <c r="C1028" s="3176">
        <v>88.97</v>
      </c>
      <c r="D1028" s="3176">
        <v>28.01</v>
      </c>
      <c r="F1028" s="3177">
        <v>1026</v>
      </c>
      <c r="G1028" s="3175" t="s">
        <v>4442</v>
      </c>
      <c r="H1028" s="3178">
        <v>-1022</v>
      </c>
      <c r="I1028" s="3179">
        <v>13.03</v>
      </c>
      <c r="J1028" s="3179">
        <v>4.0999999999999996</v>
      </c>
      <c r="L1028" s="3177">
        <v>1026</v>
      </c>
      <c r="M1028" s="3175">
        <v>-10240</v>
      </c>
      <c r="N1028" s="3175" t="s">
        <v>4187</v>
      </c>
      <c r="O1028" s="3176">
        <v>26.98</v>
      </c>
      <c r="P1028" s="3176">
        <v>8.49</v>
      </c>
    </row>
    <row r="1029" spans="1:16" ht="15" thickBot="1">
      <c r="A1029" s="3174">
        <v>1027</v>
      </c>
      <c r="B1029" s="3175" t="s">
        <v>4464</v>
      </c>
      <c r="C1029" s="3176">
        <v>88.97</v>
      </c>
      <c r="D1029" s="3176">
        <v>28.01</v>
      </c>
      <c r="F1029" s="3177">
        <v>1027</v>
      </c>
      <c r="G1029" s="3175" t="s">
        <v>4442</v>
      </c>
      <c r="H1029" s="3178">
        <v>-1023</v>
      </c>
      <c r="I1029" s="3179">
        <v>15</v>
      </c>
      <c r="J1029" s="3179">
        <v>4.72</v>
      </c>
      <c r="L1029" s="3177">
        <v>1027</v>
      </c>
      <c r="M1029" s="3175">
        <v>-10241</v>
      </c>
      <c r="N1029" s="3175" t="s">
        <v>4187</v>
      </c>
      <c r="O1029" s="3176">
        <v>26.98</v>
      </c>
      <c r="P1029" s="3176">
        <v>8.49</v>
      </c>
    </row>
    <row r="1030" spans="1:16" ht="15" thickBot="1">
      <c r="A1030" s="3174">
        <v>1028</v>
      </c>
      <c r="B1030" s="3175" t="s">
        <v>4465</v>
      </c>
      <c r="C1030" s="3176">
        <v>112.45</v>
      </c>
      <c r="D1030" s="3176">
        <v>35.4</v>
      </c>
      <c r="F1030" s="3177">
        <v>1028</v>
      </c>
      <c r="G1030" s="3175" t="s">
        <v>4442</v>
      </c>
      <c r="H1030" s="3178">
        <v>-1024</v>
      </c>
      <c r="I1030" s="3179">
        <v>11.23</v>
      </c>
      <c r="J1030" s="3179">
        <v>3.54</v>
      </c>
      <c r="L1030" s="3177">
        <v>1028</v>
      </c>
      <c r="M1030" s="3175">
        <v>-10242</v>
      </c>
      <c r="N1030" s="3175" t="s">
        <v>4187</v>
      </c>
      <c r="O1030" s="3176">
        <v>26.98</v>
      </c>
      <c r="P1030" s="3176">
        <v>8.49</v>
      </c>
    </row>
    <row r="1031" spans="1:16" ht="15" thickBot="1">
      <c r="A1031" s="3174">
        <v>1029</v>
      </c>
      <c r="B1031" s="3175" t="s">
        <v>4466</v>
      </c>
      <c r="C1031" s="3176">
        <v>112.45</v>
      </c>
      <c r="D1031" s="3176">
        <v>35.4</v>
      </c>
      <c r="F1031" s="3177">
        <v>1029</v>
      </c>
      <c r="G1031" s="3175" t="s">
        <v>4442</v>
      </c>
      <c r="H1031" s="3178">
        <v>-1025</v>
      </c>
      <c r="I1031" s="3179">
        <v>10.9</v>
      </c>
      <c r="J1031" s="3179">
        <v>3.43</v>
      </c>
      <c r="L1031" s="3177">
        <v>1029</v>
      </c>
      <c r="M1031" s="3175">
        <v>-10243</v>
      </c>
      <c r="N1031" s="3175" t="s">
        <v>4187</v>
      </c>
      <c r="O1031" s="3176">
        <v>26.98</v>
      </c>
      <c r="P1031" s="3176">
        <v>8.49</v>
      </c>
    </row>
    <row r="1032" spans="1:16" ht="15" thickBot="1">
      <c r="A1032" s="3174">
        <v>1030</v>
      </c>
      <c r="B1032" s="3175" t="s">
        <v>4467</v>
      </c>
      <c r="C1032" s="3176">
        <v>88.97</v>
      </c>
      <c r="D1032" s="3176">
        <v>28.01</v>
      </c>
      <c r="F1032" s="3177">
        <v>1030</v>
      </c>
      <c r="G1032" s="3175" t="s">
        <v>4442</v>
      </c>
      <c r="H1032" s="3178">
        <v>-1026</v>
      </c>
      <c r="I1032" s="3179">
        <v>11.54</v>
      </c>
      <c r="J1032" s="3179">
        <v>3.63</v>
      </c>
      <c r="L1032" s="3177">
        <v>1030</v>
      </c>
      <c r="M1032" s="3175">
        <v>-10244</v>
      </c>
      <c r="N1032" s="3175" t="s">
        <v>4187</v>
      </c>
      <c r="O1032" s="3176">
        <v>26.98</v>
      </c>
      <c r="P1032" s="3176">
        <v>8.49</v>
      </c>
    </row>
    <row r="1033" spans="1:16" ht="15" thickBot="1">
      <c r="A1033" s="3174">
        <v>1031</v>
      </c>
      <c r="B1033" s="3175" t="s">
        <v>4468</v>
      </c>
      <c r="C1033" s="3176">
        <v>88.97</v>
      </c>
      <c r="D1033" s="3176">
        <v>28.01</v>
      </c>
      <c r="F1033" s="3177">
        <v>1031</v>
      </c>
      <c r="G1033" s="3175" t="s">
        <v>4469</v>
      </c>
      <c r="H1033" s="3178">
        <v>-1001</v>
      </c>
      <c r="I1033" s="3179">
        <v>17.22</v>
      </c>
      <c r="J1033" s="3179">
        <v>5.42</v>
      </c>
      <c r="L1033" s="3177">
        <v>1031</v>
      </c>
      <c r="M1033" s="3175">
        <v>-10245</v>
      </c>
      <c r="N1033" s="3175" t="s">
        <v>4187</v>
      </c>
      <c r="O1033" s="3176">
        <v>26.98</v>
      </c>
      <c r="P1033" s="3176">
        <v>8.49</v>
      </c>
    </row>
    <row r="1034" spans="1:16" ht="15" thickBot="1">
      <c r="A1034" s="3174">
        <v>1032</v>
      </c>
      <c r="B1034" s="3175" t="s">
        <v>4470</v>
      </c>
      <c r="C1034" s="3176">
        <v>88.39</v>
      </c>
      <c r="D1034" s="3176">
        <v>27.83</v>
      </c>
      <c r="F1034" s="3177">
        <v>1032</v>
      </c>
      <c r="G1034" s="3175" t="s">
        <v>4469</v>
      </c>
      <c r="H1034" s="3178">
        <v>-1002</v>
      </c>
      <c r="I1034" s="3179">
        <v>16.97</v>
      </c>
      <c r="J1034" s="3179">
        <v>5.34</v>
      </c>
      <c r="L1034" s="3177">
        <v>1032</v>
      </c>
      <c r="M1034" s="3175">
        <v>-10246</v>
      </c>
      <c r="N1034" s="3175" t="s">
        <v>4187</v>
      </c>
      <c r="O1034" s="3176">
        <v>26.98</v>
      </c>
      <c r="P1034" s="3176">
        <v>8.49</v>
      </c>
    </row>
    <row r="1035" spans="1:16" ht="15" thickBot="1">
      <c r="A1035" s="3174">
        <v>1033</v>
      </c>
      <c r="B1035" s="3175" t="s">
        <v>4471</v>
      </c>
      <c r="C1035" s="3176">
        <v>112.45</v>
      </c>
      <c r="D1035" s="3176">
        <v>35.4</v>
      </c>
      <c r="F1035" s="3177">
        <v>1033</v>
      </c>
      <c r="G1035" s="3175" t="s">
        <v>4469</v>
      </c>
      <c r="H1035" s="3178">
        <v>-1003</v>
      </c>
      <c r="I1035" s="3179">
        <v>15.9</v>
      </c>
      <c r="J1035" s="3179">
        <v>5.01</v>
      </c>
      <c r="L1035" s="3177">
        <v>1033</v>
      </c>
      <c r="M1035" s="3175">
        <v>-10247</v>
      </c>
      <c r="N1035" s="3175" t="s">
        <v>4187</v>
      </c>
      <c r="O1035" s="3176">
        <v>26.98</v>
      </c>
      <c r="P1035" s="3176">
        <v>8.49</v>
      </c>
    </row>
    <row r="1036" spans="1:16" ht="15" thickBot="1">
      <c r="A1036" s="3174">
        <v>1034</v>
      </c>
      <c r="B1036" s="3175" t="s">
        <v>4472</v>
      </c>
      <c r="C1036" s="3176">
        <v>88.97</v>
      </c>
      <c r="D1036" s="3176">
        <v>28.01</v>
      </c>
      <c r="F1036" s="3177">
        <v>1034</v>
      </c>
      <c r="G1036" s="3175" t="s">
        <v>4469</v>
      </c>
      <c r="H1036" s="3178">
        <v>-1004</v>
      </c>
      <c r="I1036" s="3179">
        <v>21.93</v>
      </c>
      <c r="J1036" s="3179">
        <v>6.9</v>
      </c>
      <c r="L1036" s="3177">
        <v>1034</v>
      </c>
      <c r="M1036" s="3175">
        <v>-10248</v>
      </c>
      <c r="N1036" s="3175" t="s">
        <v>4187</v>
      </c>
      <c r="O1036" s="3176">
        <v>26.98</v>
      </c>
      <c r="P1036" s="3176">
        <v>8.49</v>
      </c>
    </row>
    <row r="1037" spans="1:16" ht="15" thickBot="1">
      <c r="A1037" s="3174">
        <v>1035</v>
      </c>
      <c r="B1037" s="3175" t="s">
        <v>4473</v>
      </c>
      <c r="C1037" s="3176">
        <v>88.97</v>
      </c>
      <c r="D1037" s="3176">
        <v>28.01</v>
      </c>
      <c r="F1037" s="3177">
        <v>1035</v>
      </c>
      <c r="G1037" s="3175" t="s">
        <v>4469</v>
      </c>
      <c r="H1037" s="3178">
        <v>-1005</v>
      </c>
      <c r="I1037" s="3179">
        <v>10.09</v>
      </c>
      <c r="J1037" s="3179">
        <v>3.18</v>
      </c>
      <c r="L1037" s="3177">
        <v>1035</v>
      </c>
      <c r="M1037" s="3175">
        <v>-10249</v>
      </c>
      <c r="N1037" s="3175" t="s">
        <v>4187</v>
      </c>
      <c r="O1037" s="3176">
        <v>26.98</v>
      </c>
      <c r="P1037" s="3176">
        <v>8.49</v>
      </c>
    </row>
    <row r="1038" spans="1:16" ht="15" thickBot="1">
      <c r="A1038" s="3174">
        <v>1036</v>
      </c>
      <c r="B1038" s="3175" t="s">
        <v>4474</v>
      </c>
      <c r="C1038" s="3176">
        <v>88.39</v>
      </c>
      <c r="D1038" s="3176">
        <v>27.83</v>
      </c>
      <c r="F1038" s="3177">
        <v>1036</v>
      </c>
      <c r="G1038" s="3175" t="s">
        <v>4469</v>
      </c>
      <c r="H1038" s="3178">
        <v>-1006</v>
      </c>
      <c r="I1038" s="3179">
        <v>9.82</v>
      </c>
      <c r="J1038" s="3179">
        <v>3.09</v>
      </c>
      <c r="L1038" s="3177">
        <v>1036</v>
      </c>
      <c r="M1038" s="3175">
        <v>-10250</v>
      </c>
      <c r="N1038" s="3175" t="s">
        <v>4187</v>
      </c>
      <c r="O1038" s="3176">
        <v>26.98</v>
      </c>
      <c r="P1038" s="3176">
        <v>8.49</v>
      </c>
    </row>
    <row r="1039" spans="1:16" ht="15" thickBot="1">
      <c r="A1039" s="3174">
        <v>1037</v>
      </c>
      <c r="B1039" s="3175" t="s">
        <v>4475</v>
      </c>
      <c r="C1039" s="3176">
        <v>112.45</v>
      </c>
      <c r="D1039" s="3176">
        <v>35.4</v>
      </c>
      <c r="F1039" s="3177">
        <v>1037</v>
      </c>
      <c r="G1039" s="3175" t="s">
        <v>4469</v>
      </c>
      <c r="H1039" s="3178">
        <v>-1007</v>
      </c>
      <c r="I1039" s="3179">
        <v>15.32</v>
      </c>
      <c r="J1039" s="3179">
        <v>4.82</v>
      </c>
      <c r="L1039" s="3177">
        <v>1037</v>
      </c>
      <c r="M1039" s="3175">
        <v>-10251</v>
      </c>
      <c r="N1039" s="3175" t="s">
        <v>4187</v>
      </c>
      <c r="O1039" s="3176">
        <v>26.98</v>
      </c>
      <c r="P1039" s="3176">
        <v>8.49</v>
      </c>
    </row>
    <row r="1040" spans="1:16" ht="15" thickBot="1">
      <c r="A1040" s="3174">
        <v>1038</v>
      </c>
      <c r="B1040" s="3175" t="s">
        <v>4476</v>
      </c>
      <c r="C1040" s="3176">
        <v>88.97</v>
      </c>
      <c r="D1040" s="3176">
        <v>28.01</v>
      </c>
      <c r="F1040" s="3177">
        <v>1038</v>
      </c>
      <c r="G1040" s="3175" t="s">
        <v>4469</v>
      </c>
      <c r="H1040" s="3178">
        <v>-1008</v>
      </c>
      <c r="I1040" s="3179">
        <v>14.85</v>
      </c>
      <c r="J1040" s="3179">
        <v>4.68</v>
      </c>
      <c r="L1040" s="3177">
        <v>1038</v>
      </c>
      <c r="M1040" s="3175">
        <v>-10252</v>
      </c>
      <c r="N1040" s="3175" t="s">
        <v>4187</v>
      </c>
      <c r="O1040" s="3176">
        <v>26.98</v>
      </c>
      <c r="P1040" s="3176">
        <v>8.49</v>
      </c>
    </row>
    <row r="1041" spans="1:16" ht="15" thickBot="1">
      <c r="A1041" s="3174">
        <v>1039</v>
      </c>
      <c r="B1041" s="3175" t="s">
        <v>4477</v>
      </c>
      <c r="C1041" s="3176">
        <v>88.97</v>
      </c>
      <c r="D1041" s="3176">
        <v>28.01</v>
      </c>
      <c r="F1041" s="3177">
        <v>1039</v>
      </c>
      <c r="G1041" s="3175" t="s">
        <v>4469</v>
      </c>
      <c r="H1041" s="3178">
        <v>-1009</v>
      </c>
      <c r="I1041" s="3179">
        <v>15.32</v>
      </c>
      <c r="J1041" s="3179">
        <v>4.82</v>
      </c>
      <c r="L1041" s="3177">
        <v>1039</v>
      </c>
      <c r="M1041" s="3175">
        <v>-10253</v>
      </c>
      <c r="N1041" s="3175" t="s">
        <v>4187</v>
      </c>
      <c r="O1041" s="3176">
        <v>26.98</v>
      </c>
      <c r="P1041" s="3176">
        <v>8.49</v>
      </c>
    </row>
    <row r="1042" spans="1:16" ht="15" thickBot="1">
      <c r="A1042" s="3174">
        <v>1040</v>
      </c>
      <c r="B1042" s="3175" t="s">
        <v>4478</v>
      </c>
      <c r="C1042" s="3176">
        <v>88.39</v>
      </c>
      <c r="D1042" s="3176">
        <v>27.83</v>
      </c>
      <c r="F1042" s="3177">
        <v>1040</v>
      </c>
      <c r="G1042" s="3175" t="s">
        <v>4469</v>
      </c>
      <c r="H1042" s="3178">
        <v>-1010</v>
      </c>
      <c r="I1042" s="3179">
        <v>15.32</v>
      </c>
      <c r="J1042" s="3179">
        <v>4.82</v>
      </c>
      <c r="L1042" s="3177">
        <v>1040</v>
      </c>
      <c r="M1042" s="3175">
        <v>-10254</v>
      </c>
      <c r="N1042" s="3175" t="s">
        <v>4187</v>
      </c>
      <c r="O1042" s="3176">
        <v>26.98</v>
      </c>
      <c r="P1042" s="3176">
        <v>8.49</v>
      </c>
    </row>
    <row r="1043" spans="1:16" ht="15" thickBot="1">
      <c r="A1043" s="3174">
        <v>1041</v>
      </c>
      <c r="B1043" s="3175" t="s">
        <v>4479</v>
      </c>
      <c r="C1043" s="3176">
        <v>112.45</v>
      </c>
      <c r="D1043" s="3176">
        <v>35.4</v>
      </c>
      <c r="F1043" s="3177">
        <v>1041</v>
      </c>
      <c r="G1043" s="3175" t="s">
        <v>4469</v>
      </c>
      <c r="H1043" s="3178">
        <v>-1011</v>
      </c>
      <c r="I1043" s="3179">
        <v>15.32</v>
      </c>
      <c r="J1043" s="3179">
        <v>4.82</v>
      </c>
      <c r="L1043" s="3177">
        <v>1041</v>
      </c>
      <c r="M1043" s="3175">
        <v>-10255</v>
      </c>
      <c r="N1043" s="3175" t="s">
        <v>4187</v>
      </c>
      <c r="O1043" s="3176">
        <v>26.98</v>
      </c>
      <c r="P1043" s="3176">
        <v>8.49</v>
      </c>
    </row>
    <row r="1044" spans="1:16" ht="15" thickBot="1">
      <c r="A1044" s="3174">
        <v>1042</v>
      </c>
      <c r="B1044" s="3175" t="s">
        <v>4480</v>
      </c>
      <c r="C1044" s="3176">
        <v>88.97</v>
      </c>
      <c r="D1044" s="3176">
        <v>28.01</v>
      </c>
      <c r="F1044" s="3177">
        <v>1042</v>
      </c>
      <c r="G1044" s="3175" t="s">
        <v>4469</v>
      </c>
      <c r="H1044" s="3178">
        <v>-1012</v>
      </c>
      <c r="I1044" s="3179">
        <v>8.42</v>
      </c>
      <c r="J1044" s="3179">
        <v>2.65</v>
      </c>
      <c r="L1044" s="3177">
        <v>1042</v>
      </c>
      <c r="M1044" s="3175">
        <v>-10256</v>
      </c>
      <c r="N1044" s="3175" t="s">
        <v>4187</v>
      </c>
      <c r="O1044" s="3176">
        <v>26.98</v>
      </c>
      <c r="P1044" s="3176">
        <v>8.49</v>
      </c>
    </row>
    <row r="1045" spans="1:16" ht="15" thickBot="1">
      <c r="A1045" s="3174">
        <v>1043</v>
      </c>
      <c r="B1045" s="3175" t="s">
        <v>4481</v>
      </c>
      <c r="C1045" s="3176">
        <v>88.97</v>
      </c>
      <c r="D1045" s="3176">
        <v>28.01</v>
      </c>
      <c r="F1045" s="3177">
        <v>1043</v>
      </c>
      <c r="G1045" s="3175" t="s">
        <v>4469</v>
      </c>
      <c r="H1045" s="3178">
        <v>-1013</v>
      </c>
      <c r="I1045" s="3179">
        <v>8.65</v>
      </c>
      <c r="J1045" s="3179">
        <v>2.72</v>
      </c>
      <c r="L1045" s="3177">
        <v>1043</v>
      </c>
      <c r="M1045" s="3175">
        <v>-10257</v>
      </c>
      <c r="N1045" s="3175" t="s">
        <v>4187</v>
      </c>
      <c r="O1045" s="3176">
        <v>26.98</v>
      </c>
      <c r="P1045" s="3176">
        <v>8.49</v>
      </c>
    </row>
    <row r="1046" spans="1:16" ht="15" thickBot="1">
      <c r="A1046" s="3174">
        <v>1044</v>
      </c>
      <c r="B1046" s="3175" t="s">
        <v>4482</v>
      </c>
      <c r="C1046" s="3176">
        <v>88.39</v>
      </c>
      <c r="D1046" s="3176">
        <v>27.83</v>
      </c>
      <c r="F1046" s="3177">
        <v>1044</v>
      </c>
      <c r="G1046" s="3175" t="s">
        <v>4469</v>
      </c>
      <c r="H1046" s="3178">
        <v>-1014</v>
      </c>
      <c r="I1046" s="3179">
        <v>12.96</v>
      </c>
      <c r="J1046" s="3179">
        <v>4.08</v>
      </c>
      <c r="L1046" s="3177">
        <v>1044</v>
      </c>
      <c r="M1046" s="3175">
        <v>-10258</v>
      </c>
      <c r="N1046" s="3175" t="s">
        <v>4187</v>
      </c>
      <c r="O1046" s="3176">
        <v>26.98</v>
      </c>
      <c r="P1046" s="3176">
        <v>8.49</v>
      </c>
    </row>
    <row r="1047" spans="1:16" ht="15" thickBot="1">
      <c r="A1047" s="3174">
        <v>1045</v>
      </c>
      <c r="B1047" s="3175" t="s">
        <v>4483</v>
      </c>
      <c r="C1047" s="3176">
        <v>112.45</v>
      </c>
      <c r="D1047" s="3176">
        <v>35.4</v>
      </c>
      <c r="F1047" s="3177">
        <v>1045</v>
      </c>
      <c r="G1047" s="3175" t="s">
        <v>4469</v>
      </c>
      <c r="H1047" s="3178">
        <v>-1015</v>
      </c>
      <c r="I1047" s="3179">
        <v>16.07</v>
      </c>
      <c r="J1047" s="3179">
        <v>5.0599999999999996</v>
      </c>
      <c r="L1047" s="3177">
        <v>1045</v>
      </c>
      <c r="M1047" s="3175">
        <v>-10259</v>
      </c>
      <c r="N1047" s="3175" t="s">
        <v>4187</v>
      </c>
      <c r="O1047" s="3176">
        <v>26.98</v>
      </c>
      <c r="P1047" s="3176">
        <v>8.49</v>
      </c>
    </row>
    <row r="1048" spans="1:16" ht="15" thickBot="1">
      <c r="A1048" s="3174">
        <v>1046</v>
      </c>
      <c r="B1048" s="3175" t="s">
        <v>4484</v>
      </c>
      <c r="C1048" s="3176">
        <v>88.97</v>
      </c>
      <c r="D1048" s="3176">
        <v>28.01</v>
      </c>
      <c r="F1048" s="3177">
        <v>1046</v>
      </c>
      <c r="G1048" s="3175" t="s">
        <v>4469</v>
      </c>
      <c r="H1048" s="3178">
        <v>-1016</v>
      </c>
      <c r="I1048" s="3179">
        <v>9.69</v>
      </c>
      <c r="J1048" s="3179">
        <v>3.05</v>
      </c>
      <c r="L1048" s="3177">
        <v>1046</v>
      </c>
      <c r="M1048" s="3175">
        <v>-10260</v>
      </c>
      <c r="N1048" s="3175" t="s">
        <v>4187</v>
      </c>
      <c r="O1048" s="3176">
        <v>26.98</v>
      </c>
      <c r="P1048" s="3176">
        <v>8.49</v>
      </c>
    </row>
    <row r="1049" spans="1:16" ht="15" thickBot="1">
      <c r="A1049" s="3174">
        <v>1047</v>
      </c>
      <c r="B1049" s="3175" t="s">
        <v>4485</v>
      </c>
      <c r="C1049" s="3176">
        <v>88.97</v>
      </c>
      <c r="D1049" s="3176">
        <v>28.01</v>
      </c>
      <c r="F1049" s="3177">
        <v>1047</v>
      </c>
      <c r="G1049" s="3175" t="s">
        <v>4469</v>
      </c>
      <c r="H1049" s="3178">
        <v>-1017</v>
      </c>
      <c r="I1049" s="3179">
        <v>9.69</v>
      </c>
      <c r="J1049" s="3179">
        <v>3.05</v>
      </c>
      <c r="L1049" s="3177">
        <v>1047</v>
      </c>
      <c r="M1049" s="3175">
        <v>-10261</v>
      </c>
      <c r="N1049" s="3175" t="s">
        <v>4187</v>
      </c>
      <c r="O1049" s="3176">
        <v>26.98</v>
      </c>
      <c r="P1049" s="3176">
        <v>8.49</v>
      </c>
    </row>
    <row r="1050" spans="1:16" ht="15" thickBot="1">
      <c r="A1050" s="3174">
        <v>1048</v>
      </c>
      <c r="B1050" s="3175" t="s">
        <v>4486</v>
      </c>
      <c r="C1050" s="3176">
        <v>88.39</v>
      </c>
      <c r="D1050" s="3176">
        <v>27.83</v>
      </c>
      <c r="F1050" s="3177">
        <v>1048</v>
      </c>
      <c r="G1050" s="3175" t="s">
        <v>4469</v>
      </c>
      <c r="H1050" s="3178">
        <v>-1018</v>
      </c>
      <c r="I1050" s="3179">
        <v>9.69</v>
      </c>
      <c r="J1050" s="3179">
        <v>3.05</v>
      </c>
      <c r="L1050" s="3177">
        <v>1048</v>
      </c>
      <c r="M1050" s="3175">
        <v>-10262</v>
      </c>
      <c r="N1050" s="3175" t="s">
        <v>4187</v>
      </c>
      <c r="O1050" s="3176">
        <v>26.98</v>
      </c>
      <c r="P1050" s="3176">
        <v>8.49</v>
      </c>
    </row>
    <row r="1051" spans="1:16" ht="15" thickBot="1">
      <c r="A1051" s="3174">
        <v>1049</v>
      </c>
      <c r="B1051" s="3175" t="s">
        <v>4487</v>
      </c>
      <c r="C1051" s="3176">
        <v>112.45</v>
      </c>
      <c r="D1051" s="3176">
        <v>35.4</v>
      </c>
      <c r="F1051" s="3177">
        <v>1049</v>
      </c>
      <c r="G1051" s="3175" t="s">
        <v>4469</v>
      </c>
      <c r="H1051" s="3178">
        <v>-1019</v>
      </c>
      <c r="I1051" s="3179">
        <v>9.69</v>
      </c>
      <c r="J1051" s="3179">
        <v>3.05</v>
      </c>
      <c r="L1051" s="3177">
        <v>1049</v>
      </c>
      <c r="M1051" s="3175">
        <v>-10263</v>
      </c>
      <c r="N1051" s="3175" t="s">
        <v>4187</v>
      </c>
      <c r="O1051" s="3176">
        <v>26.98</v>
      </c>
      <c r="P1051" s="3176">
        <v>8.49</v>
      </c>
    </row>
    <row r="1052" spans="1:16" ht="15" thickBot="1">
      <c r="A1052" s="3174">
        <v>1050</v>
      </c>
      <c r="B1052" s="3175" t="s">
        <v>4488</v>
      </c>
      <c r="C1052" s="3176">
        <v>88.97</v>
      </c>
      <c r="D1052" s="3176">
        <v>28.01</v>
      </c>
      <c r="F1052" s="3177">
        <v>1050</v>
      </c>
      <c r="G1052" s="3175" t="s">
        <v>4469</v>
      </c>
      <c r="H1052" s="3178">
        <v>-1020</v>
      </c>
      <c r="I1052" s="3179">
        <v>13.93</v>
      </c>
      <c r="J1052" s="3179">
        <v>4.3899999999999997</v>
      </c>
      <c r="L1052" s="3177">
        <v>1050</v>
      </c>
      <c r="M1052" s="3175">
        <v>-10264</v>
      </c>
      <c r="N1052" s="3175" t="s">
        <v>4187</v>
      </c>
      <c r="O1052" s="3176">
        <v>26.98</v>
      </c>
      <c r="P1052" s="3176">
        <v>8.49</v>
      </c>
    </row>
    <row r="1053" spans="1:16" ht="15" thickBot="1">
      <c r="A1053" s="3174">
        <v>1051</v>
      </c>
      <c r="B1053" s="3175" t="s">
        <v>4489</v>
      </c>
      <c r="C1053" s="3176">
        <v>88.97</v>
      </c>
      <c r="D1053" s="3176">
        <v>28.01</v>
      </c>
      <c r="F1053" s="3177">
        <v>1051</v>
      </c>
      <c r="G1053" s="3175" t="s">
        <v>4469</v>
      </c>
      <c r="H1053" s="3178">
        <v>-1021</v>
      </c>
      <c r="I1053" s="3179">
        <v>13.68</v>
      </c>
      <c r="J1053" s="3179">
        <v>4.3099999999999996</v>
      </c>
      <c r="L1053" s="3177">
        <v>1051</v>
      </c>
      <c r="M1053" s="3175">
        <v>-10265</v>
      </c>
      <c r="N1053" s="3175" t="s">
        <v>4187</v>
      </c>
      <c r="O1053" s="3176">
        <v>26.98</v>
      </c>
      <c r="P1053" s="3176">
        <v>8.49</v>
      </c>
    </row>
    <row r="1054" spans="1:16" ht="15" thickBot="1">
      <c r="A1054" s="3174">
        <v>1052</v>
      </c>
      <c r="B1054" s="3175" t="s">
        <v>4490</v>
      </c>
      <c r="C1054" s="3176">
        <v>88.39</v>
      </c>
      <c r="D1054" s="3176">
        <v>27.83</v>
      </c>
      <c r="F1054" s="3177">
        <v>1052</v>
      </c>
      <c r="G1054" s="3175" t="s">
        <v>4469</v>
      </c>
      <c r="H1054" s="3178">
        <v>-1022</v>
      </c>
      <c r="I1054" s="3179">
        <v>15.75</v>
      </c>
      <c r="J1054" s="3179">
        <v>4.96</v>
      </c>
      <c r="L1054" s="3177">
        <v>1052</v>
      </c>
      <c r="M1054" s="3175">
        <v>-10266</v>
      </c>
      <c r="N1054" s="3175" t="s">
        <v>4187</v>
      </c>
      <c r="O1054" s="3176">
        <v>26.98</v>
      </c>
      <c r="P1054" s="3176">
        <v>8.49</v>
      </c>
    </row>
    <row r="1055" spans="1:16" ht="15" thickBot="1">
      <c r="A1055" s="3174">
        <v>1053</v>
      </c>
      <c r="B1055" s="3175" t="s">
        <v>4491</v>
      </c>
      <c r="C1055" s="3176">
        <v>112.45</v>
      </c>
      <c r="D1055" s="3176">
        <v>35.4</v>
      </c>
      <c r="F1055" s="3177">
        <v>1053</v>
      </c>
      <c r="G1055" s="3175" t="s">
        <v>4469</v>
      </c>
      <c r="H1055" s="3178">
        <v>-1023</v>
      </c>
      <c r="I1055" s="3179">
        <v>11.78</v>
      </c>
      <c r="J1055" s="3179">
        <v>3.71</v>
      </c>
      <c r="L1055" s="3177">
        <v>1053</v>
      </c>
      <c r="M1055" s="3175">
        <v>-10267</v>
      </c>
      <c r="N1055" s="3175" t="s">
        <v>4187</v>
      </c>
      <c r="O1055" s="3176">
        <v>26.98</v>
      </c>
      <c r="P1055" s="3176">
        <v>8.49</v>
      </c>
    </row>
    <row r="1056" spans="1:16" ht="15" thickBot="1">
      <c r="A1056" s="3174">
        <v>1054</v>
      </c>
      <c r="B1056" s="3175" t="s">
        <v>4492</v>
      </c>
      <c r="C1056" s="3176">
        <v>88.97</v>
      </c>
      <c r="D1056" s="3176">
        <v>28.01</v>
      </c>
      <c r="F1056" s="3177">
        <v>1054</v>
      </c>
      <c r="G1056" s="3175" t="s">
        <v>4469</v>
      </c>
      <c r="H1056" s="3178">
        <v>-1024</v>
      </c>
      <c r="I1056" s="3179">
        <v>11.44</v>
      </c>
      <c r="J1056" s="3179">
        <v>3.6</v>
      </c>
      <c r="L1056" s="3177">
        <v>1054</v>
      </c>
      <c r="M1056" s="3175">
        <v>-10268</v>
      </c>
      <c r="N1056" s="3175" t="s">
        <v>4187</v>
      </c>
      <c r="O1056" s="3176">
        <v>26.98</v>
      </c>
      <c r="P1056" s="3176">
        <v>8.49</v>
      </c>
    </row>
    <row r="1057" spans="1:16" ht="15" thickBot="1">
      <c r="A1057" s="3174">
        <v>1055</v>
      </c>
      <c r="B1057" s="3175" t="s">
        <v>4493</v>
      </c>
      <c r="C1057" s="3176">
        <v>88.97</v>
      </c>
      <c r="D1057" s="3176">
        <v>28.01</v>
      </c>
      <c r="F1057" s="3177">
        <v>1055</v>
      </c>
      <c r="G1057" s="3175" t="s">
        <v>4469</v>
      </c>
      <c r="H1057" s="3178">
        <v>-1025</v>
      </c>
      <c r="I1057" s="3179">
        <v>12.11</v>
      </c>
      <c r="J1057" s="3179">
        <v>3.81</v>
      </c>
      <c r="L1057" s="3177">
        <v>1055</v>
      </c>
      <c r="M1057" s="3175">
        <v>-10269</v>
      </c>
      <c r="N1057" s="3175" t="s">
        <v>4187</v>
      </c>
      <c r="O1057" s="3176">
        <v>26.98</v>
      </c>
      <c r="P1057" s="3176">
        <v>8.49</v>
      </c>
    </row>
    <row r="1058" spans="1:16" ht="15" thickBot="1">
      <c r="A1058" s="3174">
        <v>1056</v>
      </c>
      <c r="B1058" s="3175" t="s">
        <v>4494</v>
      </c>
      <c r="C1058" s="3176">
        <v>88.39</v>
      </c>
      <c r="D1058" s="3176">
        <v>27.83</v>
      </c>
      <c r="F1058" s="3177">
        <v>1056</v>
      </c>
      <c r="G1058" s="3175" t="s">
        <v>4495</v>
      </c>
      <c r="H1058" s="3178">
        <v>-1001</v>
      </c>
      <c r="I1058" s="3179">
        <v>8.26</v>
      </c>
      <c r="J1058" s="3179">
        <v>2.6</v>
      </c>
      <c r="L1058" s="3177">
        <v>1056</v>
      </c>
      <c r="M1058" s="3175">
        <v>-10270</v>
      </c>
      <c r="N1058" s="3175" t="s">
        <v>4187</v>
      </c>
      <c r="O1058" s="3176">
        <v>26.98</v>
      </c>
      <c r="P1058" s="3176">
        <v>8.49</v>
      </c>
    </row>
    <row r="1059" spans="1:16" ht="15" thickBot="1">
      <c r="A1059" s="3174">
        <v>1057</v>
      </c>
      <c r="B1059" s="3175" t="s">
        <v>4496</v>
      </c>
      <c r="C1059" s="3176">
        <v>112.45</v>
      </c>
      <c r="D1059" s="3176">
        <v>35.4</v>
      </c>
      <c r="F1059" s="3177">
        <v>1057</v>
      </c>
      <c r="G1059" s="3175" t="s">
        <v>4495</v>
      </c>
      <c r="H1059" s="3178">
        <v>-1002</v>
      </c>
      <c r="I1059" s="3179">
        <v>8.48</v>
      </c>
      <c r="J1059" s="3179">
        <v>2.67</v>
      </c>
      <c r="L1059" s="3177">
        <v>1057</v>
      </c>
      <c r="M1059" s="3175">
        <v>-10271</v>
      </c>
      <c r="N1059" s="3175" t="s">
        <v>4187</v>
      </c>
      <c r="O1059" s="3176">
        <v>26.98</v>
      </c>
      <c r="P1059" s="3176">
        <v>8.49</v>
      </c>
    </row>
    <row r="1060" spans="1:16" ht="15" thickBot="1">
      <c r="A1060" s="3174">
        <v>1058</v>
      </c>
      <c r="B1060" s="3175" t="s">
        <v>4497</v>
      </c>
      <c r="C1060" s="3176">
        <v>88.97</v>
      </c>
      <c r="D1060" s="3176">
        <v>28.01</v>
      </c>
      <c r="F1060" s="3177">
        <v>1058</v>
      </c>
      <c r="G1060" s="3175" t="s">
        <v>4495</v>
      </c>
      <c r="H1060" s="3178">
        <v>-1003</v>
      </c>
      <c r="I1060" s="3179">
        <v>12.71</v>
      </c>
      <c r="J1060" s="3179">
        <v>4</v>
      </c>
      <c r="L1060" s="3177">
        <v>1058</v>
      </c>
      <c r="M1060" s="3175">
        <v>-10272</v>
      </c>
      <c r="N1060" s="3175" t="s">
        <v>4187</v>
      </c>
      <c r="O1060" s="3176">
        <v>26.98</v>
      </c>
      <c r="P1060" s="3176">
        <v>8.49</v>
      </c>
    </row>
    <row r="1061" spans="1:16" ht="15" thickBot="1">
      <c r="A1061" s="3174">
        <v>1059</v>
      </c>
      <c r="B1061" s="3175" t="s">
        <v>4498</v>
      </c>
      <c r="C1061" s="3176">
        <v>88.97</v>
      </c>
      <c r="D1061" s="3176">
        <v>28.01</v>
      </c>
      <c r="F1061" s="3177">
        <v>1059</v>
      </c>
      <c r="G1061" s="3175" t="s">
        <v>4495</v>
      </c>
      <c r="H1061" s="3178">
        <v>-1004</v>
      </c>
      <c r="I1061" s="3179">
        <v>15.76</v>
      </c>
      <c r="J1061" s="3179">
        <v>4.96</v>
      </c>
      <c r="L1061" s="3177">
        <v>1059</v>
      </c>
      <c r="M1061" s="3175">
        <v>-10273</v>
      </c>
      <c r="N1061" s="3175" t="s">
        <v>4187</v>
      </c>
      <c r="O1061" s="3176">
        <v>26.98</v>
      </c>
      <c r="P1061" s="3176">
        <v>8.49</v>
      </c>
    </row>
    <row r="1062" spans="1:16" ht="15" thickBot="1">
      <c r="A1062" s="3174">
        <v>1060</v>
      </c>
      <c r="B1062" s="3175" t="s">
        <v>4499</v>
      </c>
      <c r="C1062" s="3176">
        <v>88.39</v>
      </c>
      <c r="D1062" s="3176">
        <v>27.83</v>
      </c>
      <c r="F1062" s="3177">
        <v>1060</v>
      </c>
      <c r="G1062" s="3175" t="s">
        <v>4495</v>
      </c>
      <c r="H1062" s="3178">
        <v>-1005</v>
      </c>
      <c r="I1062" s="3179">
        <v>15.03</v>
      </c>
      <c r="J1062" s="3179">
        <v>4.7300000000000004</v>
      </c>
      <c r="L1062" s="3177">
        <v>1060</v>
      </c>
      <c r="M1062" s="3175">
        <v>-10274</v>
      </c>
      <c r="N1062" s="3175" t="s">
        <v>4187</v>
      </c>
      <c r="O1062" s="3176">
        <v>26.98</v>
      </c>
      <c r="P1062" s="3176">
        <v>8.49</v>
      </c>
    </row>
    <row r="1063" spans="1:16" ht="15" thickBot="1">
      <c r="A1063" s="3174">
        <v>1061</v>
      </c>
      <c r="B1063" s="3175" t="s">
        <v>4500</v>
      </c>
      <c r="C1063" s="3176">
        <v>112.45</v>
      </c>
      <c r="D1063" s="3176">
        <v>35.4</v>
      </c>
      <c r="F1063" s="3177">
        <v>1061</v>
      </c>
      <c r="G1063" s="3175" t="s">
        <v>4495</v>
      </c>
      <c r="H1063" s="3178">
        <v>-1006</v>
      </c>
      <c r="I1063" s="3179">
        <v>15.03</v>
      </c>
      <c r="J1063" s="3179">
        <v>4.7300000000000004</v>
      </c>
      <c r="L1063" s="3177">
        <v>1061</v>
      </c>
      <c r="M1063" s="3175">
        <v>-10275</v>
      </c>
      <c r="N1063" s="3175" t="s">
        <v>4187</v>
      </c>
      <c r="O1063" s="3176">
        <v>26.98</v>
      </c>
      <c r="P1063" s="3176">
        <v>8.49</v>
      </c>
    </row>
    <row r="1064" spans="1:16" ht="15" thickBot="1">
      <c r="A1064" s="3174">
        <v>1062</v>
      </c>
      <c r="B1064" s="3175" t="s">
        <v>4501</v>
      </c>
      <c r="C1064" s="3176">
        <v>88.97</v>
      </c>
      <c r="D1064" s="3176">
        <v>28.01</v>
      </c>
      <c r="F1064" s="3177">
        <v>1062</v>
      </c>
      <c r="G1064" s="3175" t="s">
        <v>4495</v>
      </c>
      <c r="H1064" s="3178">
        <v>-1007</v>
      </c>
      <c r="I1064" s="3179">
        <v>15.03</v>
      </c>
      <c r="J1064" s="3179">
        <v>4.7300000000000004</v>
      </c>
      <c r="L1064" s="3177">
        <v>1062</v>
      </c>
      <c r="M1064" s="3175">
        <v>-10276</v>
      </c>
      <c r="N1064" s="3175" t="s">
        <v>4187</v>
      </c>
      <c r="O1064" s="3176">
        <v>26.98</v>
      </c>
      <c r="P1064" s="3176">
        <v>8.49</v>
      </c>
    </row>
    <row r="1065" spans="1:16" ht="15" thickBot="1">
      <c r="A1065" s="3174">
        <v>1063</v>
      </c>
      <c r="B1065" s="3175" t="s">
        <v>4502</v>
      </c>
      <c r="C1065" s="3176">
        <v>88.97</v>
      </c>
      <c r="D1065" s="3176">
        <v>28.01</v>
      </c>
      <c r="F1065" s="3177">
        <v>1063</v>
      </c>
      <c r="G1065" s="3175" t="s">
        <v>4495</v>
      </c>
      <c r="H1065" s="3178">
        <v>-1008</v>
      </c>
      <c r="I1065" s="3179">
        <v>14.56</v>
      </c>
      <c r="J1065" s="3179">
        <v>4.58</v>
      </c>
      <c r="L1065" s="3177">
        <v>1063</v>
      </c>
      <c r="M1065" s="3175">
        <v>-10277</v>
      </c>
      <c r="N1065" s="3175" t="s">
        <v>4187</v>
      </c>
      <c r="O1065" s="3176">
        <v>26.98</v>
      </c>
      <c r="P1065" s="3176">
        <v>8.49</v>
      </c>
    </row>
    <row r="1066" spans="1:16" ht="15" thickBot="1">
      <c r="A1066" s="3174">
        <v>1064</v>
      </c>
      <c r="B1066" s="3175" t="s">
        <v>4503</v>
      </c>
      <c r="C1066" s="3176">
        <v>88.39</v>
      </c>
      <c r="D1066" s="3176">
        <v>27.83</v>
      </c>
      <c r="F1066" s="3177">
        <v>1064</v>
      </c>
      <c r="G1066" s="3175" t="s">
        <v>4495</v>
      </c>
      <c r="H1066" s="3178">
        <v>-1009</v>
      </c>
      <c r="I1066" s="3179">
        <v>15.03</v>
      </c>
      <c r="J1066" s="3179">
        <v>4.7300000000000004</v>
      </c>
      <c r="L1066" s="3177">
        <v>1064</v>
      </c>
      <c r="M1066" s="3175">
        <v>-10278</v>
      </c>
      <c r="N1066" s="3175" t="s">
        <v>4187</v>
      </c>
      <c r="O1066" s="3176">
        <v>26.98</v>
      </c>
      <c r="P1066" s="3176">
        <v>8.49</v>
      </c>
    </row>
    <row r="1067" spans="1:16" ht="15" thickBot="1">
      <c r="A1067" s="3174">
        <v>1065</v>
      </c>
      <c r="B1067" s="3175" t="s">
        <v>4504</v>
      </c>
      <c r="C1067" s="3176">
        <v>112.45</v>
      </c>
      <c r="D1067" s="3176">
        <v>35.4</v>
      </c>
      <c r="F1067" s="3177">
        <v>1065</v>
      </c>
      <c r="G1067" s="3175" t="s">
        <v>4495</v>
      </c>
      <c r="H1067" s="3178">
        <v>-1010</v>
      </c>
      <c r="I1067" s="3179">
        <v>17.3</v>
      </c>
      <c r="J1067" s="3179">
        <v>5.45</v>
      </c>
      <c r="L1067" s="3177">
        <v>1065</v>
      </c>
      <c r="M1067" s="3175">
        <v>-10279</v>
      </c>
      <c r="N1067" s="3175" t="s">
        <v>4187</v>
      </c>
      <c r="O1067" s="3176">
        <v>26.98</v>
      </c>
      <c r="P1067" s="3176">
        <v>8.49</v>
      </c>
    </row>
    <row r="1068" spans="1:16" ht="15" thickBot="1">
      <c r="A1068" s="3174">
        <v>1066</v>
      </c>
      <c r="B1068" s="3175" t="s">
        <v>4505</v>
      </c>
      <c r="C1068" s="3176">
        <v>88.97</v>
      </c>
      <c r="D1068" s="3176">
        <v>28.01</v>
      </c>
      <c r="F1068" s="3177">
        <v>1066</v>
      </c>
      <c r="G1068" s="3175" t="s">
        <v>4495</v>
      </c>
      <c r="H1068" s="3178">
        <v>-1011</v>
      </c>
      <c r="I1068" s="3179">
        <v>17.03</v>
      </c>
      <c r="J1068" s="3179">
        <v>5.36</v>
      </c>
      <c r="L1068" s="3177">
        <v>1066</v>
      </c>
      <c r="M1068" s="3175">
        <v>-10280</v>
      </c>
      <c r="N1068" s="3175" t="s">
        <v>4187</v>
      </c>
      <c r="O1068" s="3176">
        <v>26.98</v>
      </c>
      <c r="P1068" s="3176">
        <v>8.49</v>
      </c>
    </row>
    <row r="1069" spans="1:16" ht="15" thickBot="1">
      <c r="A1069" s="3174">
        <v>1067</v>
      </c>
      <c r="B1069" s="3175" t="s">
        <v>4506</v>
      </c>
      <c r="C1069" s="3176">
        <v>88.97</v>
      </c>
      <c r="D1069" s="3176">
        <v>28.01</v>
      </c>
      <c r="F1069" s="3177">
        <v>1067</v>
      </c>
      <c r="G1069" s="3175" t="s">
        <v>4495</v>
      </c>
      <c r="H1069" s="3178">
        <v>-1012</v>
      </c>
      <c r="I1069" s="3179">
        <v>15.59</v>
      </c>
      <c r="J1069" s="3179">
        <v>4.91</v>
      </c>
      <c r="L1069" s="3177">
        <v>1067</v>
      </c>
      <c r="M1069" s="3175">
        <v>-10281</v>
      </c>
      <c r="N1069" s="3175" t="s">
        <v>4187</v>
      </c>
      <c r="O1069" s="3176">
        <v>26.98</v>
      </c>
      <c r="P1069" s="3176">
        <v>8.49</v>
      </c>
    </row>
    <row r="1070" spans="1:16" ht="15" thickBot="1">
      <c r="A1070" s="3174">
        <v>1068</v>
      </c>
      <c r="B1070" s="3175" t="s">
        <v>4507</v>
      </c>
      <c r="C1070" s="3176">
        <v>88.39</v>
      </c>
      <c r="D1070" s="3176">
        <v>27.83</v>
      </c>
      <c r="F1070" s="3177">
        <v>1068</v>
      </c>
      <c r="G1070" s="3175" t="s">
        <v>4495</v>
      </c>
      <c r="H1070" s="3178">
        <v>-1013</v>
      </c>
      <c r="I1070" s="3179">
        <v>21.65</v>
      </c>
      <c r="J1070" s="3179">
        <v>6.82</v>
      </c>
      <c r="L1070" s="3177">
        <v>1068</v>
      </c>
      <c r="M1070" s="3175">
        <v>-10282</v>
      </c>
      <c r="N1070" s="3175" t="s">
        <v>4187</v>
      </c>
      <c r="O1070" s="3176">
        <v>26.98</v>
      </c>
      <c r="P1070" s="3176">
        <v>8.49</v>
      </c>
    </row>
    <row r="1071" spans="1:16" ht="15" thickBot="1">
      <c r="A1071" s="3174">
        <v>1069</v>
      </c>
      <c r="B1071" s="3175" t="s">
        <v>4508</v>
      </c>
      <c r="C1071" s="3176">
        <v>112.45</v>
      </c>
      <c r="D1071" s="3176">
        <v>35.4</v>
      </c>
      <c r="F1071" s="3177">
        <v>1069</v>
      </c>
      <c r="G1071" s="3175" t="s">
        <v>4495</v>
      </c>
      <c r="H1071" s="3178">
        <v>-1014</v>
      </c>
      <c r="I1071" s="3179">
        <v>10.119999999999999</v>
      </c>
      <c r="J1071" s="3179">
        <v>3.19</v>
      </c>
      <c r="L1071" s="3177">
        <v>1069</v>
      </c>
      <c r="M1071" s="3175">
        <v>-10283</v>
      </c>
      <c r="N1071" s="3175" t="s">
        <v>4187</v>
      </c>
      <c r="O1071" s="3176">
        <v>26.98</v>
      </c>
      <c r="P1071" s="3176">
        <v>8.49</v>
      </c>
    </row>
    <row r="1072" spans="1:16" ht="15" thickBot="1">
      <c r="A1072" s="3174">
        <v>1070</v>
      </c>
      <c r="B1072" s="3175" t="s">
        <v>4509</v>
      </c>
      <c r="C1072" s="3176">
        <v>88.97</v>
      </c>
      <c r="D1072" s="3176">
        <v>28.01</v>
      </c>
      <c r="F1072" s="3177">
        <v>1070</v>
      </c>
      <c r="G1072" s="3175" t="s">
        <v>4495</v>
      </c>
      <c r="H1072" s="3178">
        <v>-1015</v>
      </c>
      <c r="I1072" s="3179">
        <v>9.85</v>
      </c>
      <c r="J1072" s="3179">
        <v>3.1</v>
      </c>
      <c r="L1072" s="3177">
        <v>1070</v>
      </c>
      <c r="M1072" s="3175">
        <v>-10284</v>
      </c>
      <c r="N1072" s="3175" t="s">
        <v>4187</v>
      </c>
      <c r="O1072" s="3176">
        <v>26.98</v>
      </c>
      <c r="P1072" s="3176">
        <v>8.49</v>
      </c>
    </row>
    <row r="1073" spans="1:16" ht="15" thickBot="1">
      <c r="A1073" s="3174">
        <v>1071</v>
      </c>
      <c r="B1073" s="3175" t="s">
        <v>4510</v>
      </c>
      <c r="C1073" s="3176">
        <v>88.97</v>
      </c>
      <c r="D1073" s="3176">
        <v>28.01</v>
      </c>
      <c r="F1073" s="3177">
        <v>1071</v>
      </c>
      <c r="G1073" s="3175" t="s">
        <v>4495</v>
      </c>
      <c r="H1073" s="3178">
        <v>-1016</v>
      </c>
      <c r="I1073" s="3179">
        <v>11.88</v>
      </c>
      <c r="J1073" s="3179">
        <v>3.74</v>
      </c>
      <c r="L1073" s="3177">
        <v>1071</v>
      </c>
      <c r="M1073" s="3175">
        <v>-10285</v>
      </c>
      <c r="N1073" s="3175" t="s">
        <v>4187</v>
      </c>
      <c r="O1073" s="3176">
        <v>26.98</v>
      </c>
      <c r="P1073" s="3176">
        <v>8.49</v>
      </c>
    </row>
    <row r="1074" spans="1:16" ht="15" thickBot="1">
      <c r="A1074" s="3174">
        <v>1072</v>
      </c>
      <c r="B1074" s="3175" t="s">
        <v>4511</v>
      </c>
      <c r="C1074" s="3176">
        <v>88.39</v>
      </c>
      <c r="D1074" s="3176">
        <v>27.83</v>
      </c>
      <c r="F1074" s="3177">
        <v>1072</v>
      </c>
      <c r="G1074" s="3175" t="s">
        <v>4495</v>
      </c>
      <c r="H1074" s="3178">
        <v>-1017</v>
      </c>
      <c r="I1074" s="3179">
        <v>11.22</v>
      </c>
      <c r="J1074" s="3179">
        <v>3.53</v>
      </c>
      <c r="L1074" s="3177">
        <v>1072</v>
      </c>
      <c r="M1074" s="3175">
        <v>-10286</v>
      </c>
      <c r="N1074" s="3175" t="s">
        <v>4187</v>
      </c>
      <c r="O1074" s="3176">
        <v>26.98</v>
      </c>
      <c r="P1074" s="3176">
        <v>8.49</v>
      </c>
    </row>
    <row r="1075" spans="1:16" ht="15" thickBot="1">
      <c r="A1075" s="3174">
        <v>1073</v>
      </c>
      <c r="B1075" s="3175" t="s">
        <v>4512</v>
      </c>
      <c r="C1075" s="3176">
        <v>112.45</v>
      </c>
      <c r="D1075" s="3176">
        <v>35.4</v>
      </c>
      <c r="F1075" s="3177">
        <v>1073</v>
      </c>
      <c r="G1075" s="3175" t="s">
        <v>4495</v>
      </c>
      <c r="H1075" s="3178">
        <v>-1018</v>
      </c>
      <c r="I1075" s="3179">
        <v>11.56</v>
      </c>
      <c r="J1075" s="3179">
        <v>3.64</v>
      </c>
      <c r="L1075" s="3177">
        <v>1073</v>
      </c>
      <c r="M1075" s="3175">
        <v>-10287</v>
      </c>
      <c r="N1075" s="3175" t="s">
        <v>4187</v>
      </c>
      <c r="O1075" s="3176">
        <v>26.98</v>
      </c>
      <c r="P1075" s="3176">
        <v>8.49</v>
      </c>
    </row>
    <row r="1076" spans="1:16" ht="15" thickBot="1">
      <c r="A1076" s="3174">
        <v>1074</v>
      </c>
      <c r="B1076" s="3175" t="s">
        <v>4513</v>
      </c>
      <c r="C1076" s="3176">
        <v>88.97</v>
      </c>
      <c r="D1076" s="3176">
        <v>28.01</v>
      </c>
      <c r="F1076" s="3177">
        <v>1074</v>
      </c>
      <c r="G1076" s="3175" t="s">
        <v>4495</v>
      </c>
      <c r="H1076" s="3178">
        <v>-1019</v>
      </c>
      <c r="I1076" s="3179">
        <v>15.44</v>
      </c>
      <c r="J1076" s="3179">
        <v>4.8600000000000003</v>
      </c>
      <c r="L1076" s="3177">
        <v>1074</v>
      </c>
      <c r="M1076" s="3175">
        <v>-10288</v>
      </c>
      <c r="N1076" s="3175" t="s">
        <v>4187</v>
      </c>
      <c r="O1076" s="3176">
        <v>26.98</v>
      </c>
      <c r="P1076" s="3176">
        <v>8.49</v>
      </c>
    </row>
    <row r="1077" spans="1:16" ht="15" thickBot="1">
      <c r="A1077" s="3174">
        <v>1075</v>
      </c>
      <c r="B1077" s="3175" t="s">
        <v>4514</v>
      </c>
      <c r="C1077" s="3176">
        <v>88.97</v>
      </c>
      <c r="D1077" s="3176">
        <v>28.01</v>
      </c>
      <c r="F1077" s="3177">
        <v>1075</v>
      </c>
      <c r="G1077" s="3175" t="s">
        <v>4495</v>
      </c>
      <c r="H1077" s="3178">
        <v>-1020</v>
      </c>
      <c r="I1077" s="3179">
        <v>13.42</v>
      </c>
      <c r="J1077" s="3179">
        <v>4.2300000000000004</v>
      </c>
      <c r="L1077" s="3177">
        <v>1075</v>
      </c>
      <c r="M1077" s="3175">
        <v>-10289</v>
      </c>
      <c r="N1077" s="3175" t="s">
        <v>4187</v>
      </c>
      <c r="O1077" s="3176">
        <v>26.98</v>
      </c>
      <c r="P1077" s="3176">
        <v>8.49</v>
      </c>
    </row>
    <row r="1078" spans="1:16" ht="15" thickBot="1">
      <c r="A1078" s="3174">
        <v>1076</v>
      </c>
      <c r="B1078" s="3175" t="s">
        <v>4515</v>
      </c>
      <c r="C1078" s="3176">
        <v>88.39</v>
      </c>
      <c r="D1078" s="3176">
        <v>27.83</v>
      </c>
      <c r="F1078" s="3177">
        <v>1076</v>
      </c>
      <c r="G1078" s="3175" t="s">
        <v>4495</v>
      </c>
      <c r="H1078" s="3178">
        <v>-1021</v>
      </c>
      <c r="I1078" s="3179">
        <v>13.66</v>
      </c>
      <c r="J1078" s="3179">
        <v>4.3</v>
      </c>
      <c r="L1078" s="3177">
        <v>1076</v>
      </c>
      <c r="M1078" s="3175">
        <v>-10290</v>
      </c>
      <c r="N1078" s="3175" t="s">
        <v>4187</v>
      </c>
      <c r="O1078" s="3176">
        <v>26.98</v>
      </c>
      <c r="P1078" s="3176">
        <v>8.49</v>
      </c>
    </row>
    <row r="1079" spans="1:16" ht="15" thickBot="1">
      <c r="A1079" s="3174">
        <v>1077</v>
      </c>
      <c r="B1079" s="3175" t="s">
        <v>4516</v>
      </c>
      <c r="C1079" s="3176">
        <v>112.45</v>
      </c>
      <c r="D1079" s="3176">
        <v>35.4</v>
      </c>
      <c r="F1079" s="3177">
        <v>1077</v>
      </c>
      <c r="G1079" s="3175" t="s">
        <v>4495</v>
      </c>
      <c r="H1079" s="3178">
        <v>-1022</v>
      </c>
      <c r="I1079" s="3179">
        <v>9.51</v>
      </c>
      <c r="J1079" s="3179">
        <v>2.99</v>
      </c>
      <c r="L1079" s="3177">
        <v>1077</v>
      </c>
      <c r="M1079" s="3175">
        <v>-10291</v>
      </c>
      <c r="N1079" s="3175" t="s">
        <v>4187</v>
      </c>
      <c r="O1079" s="3176">
        <v>26.98</v>
      </c>
      <c r="P1079" s="3176">
        <v>8.49</v>
      </c>
    </row>
    <row r="1080" spans="1:16" ht="15" thickBot="1">
      <c r="A1080" s="3174">
        <v>1078</v>
      </c>
      <c r="B1080" s="3175" t="s">
        <v>4517</v>
      </c>
      <c r="C1080" s="3176">
        <v>88.97</v>
      </c>
      <c r="D1080" s="3176">
        <v>28.01</v>
      </c>
      <c r="F1080" s="3177">
        <v>1078</v>
      </c>
      <c r="G1080" s="3175" t="s">
        <v>4495</v>
      </c>
      <c r="H1080" s="3178">
        <v>-1023</v>
      </c>
      <c r="I1080" s="3179">
        <v>9.51</v>
      </c>
      <c r="J1080" s="3179">
        <v>2.99</v>
      </c>
      <c r="L1080" s="3177">
        <v>1078</v>
      </c>
      <c r="M1080" s="3175">
        <v>-10292</v>
      </c>
      <c r="N1080" s="3175" t="s">
        <v>4187</v>
      </c>
      <c r="O1080" s="3176">
        <v>26.98</v>
      </c>
      <c r="P1080" s="3176">
        <v>8.49</v>
      </c>
    </row>
    <row r="1081" spans="1:16" ht="15" thickBot="1">
      <c r="A1081" s="3174">
        <v>1079</v>
      </c>
      <c r="B1081" s="3175" t="s">
        <v>4518</v>
      </c>
      <c r="C1081" s="3176">
        <v>88.97</v>
      </c>
      <c r="D1081" s="3176">
        <v>28.01</v>
      </c>
      <c r="F1081" s="3177">
        <v>1079</v>
      </c>
      <c r="G1081" s="3175" t="s">
        <v>4495</v>
      </c>
      <c r="H1081" s="3178">
        <v>-1024</v>
      </c>
      <c r="I1081" s="3179">
        <v>9.51</v>
      </c>
      <c r="J1081" s="3179">
        <v>2.99</v>
      </c>
      <c r="L1081" s="3177">
        <v>1079</v>
      </c>
      <c r="M1081" s="3175">
        <v>-10293</v>
      </c>
      <c r="N1081" s="3175" t="s">
        <v>4187</v>
      </c>
      <c r="O1081" s="3176">
        <v>26.98</v>
      </c>
      <c r="P1081" s="3176">
        <v>8.49</v>
      </c>
    </row>
    <row r="1082" spans="1:16" ht="15" thickBot="1">
      <c r="A1082" s="3174">
        <v>1080</v>
      </c>
      <c r="B1082" s="3175" t="s">
        <v>4519</v>
      </c>
      <c r="C1082" s="3176">
        <v>88.39</v>
      </c>
      <c r="D1082" s="3176">
        <v>27.83</v>
      </c>
      <c r="F1082" s="3177">
        <v>1080</v>
      </c>
      <c r="G1082" s="3175" t="s">
        <v>4495</v>
      </c>
      <c r="H1082" s="3178">
        <v>-1025</v>
      </c>
      <c r="I1082" s="3179">
        <v>9.51</v>
      </c>
      <c r="J1082" s="3179">
        <v>2.99</v>
      </c>
      <c r="L1082" s="3177">
        <v>1080</v>
      </c>
      <c r="M1082" s="3175">
        <v>-10294</v>
      </c>
      <c r="N1082" s="3175" t="s">
        <v>4187</v>
      </c>
      <c r="O1082" s="3176">
        <v>26.98</v>
      </c>
      <c r="P1082" s="3176">
        <v>8.49</v>
      </c>
    </row>
    <row r="1083" spans="1:16" ht="15" thickBot="1">
      <c r="A1083" s="3174">
        <v>1081</v>
      </c>
      <c r="B1083" s="3175" t="s">
        <v>4520</v>
      </c>
      <c r="C1083" s="3176">
        <v>112.45</v>
      </c>
      <c r="D1083" s="3176">
        <v>35.4</v>
      </c>
      <c r="F1083" s="3177">
        <v>1081</v>
      </c>
      <c r="G1083" s="3175" t="s">
        <v>4521</v>
      </c>
      <c r="H1083" s="3178">
        <v>-1001</v>
      </c>
      <c r="I1083" s="3179">
        <v>8.57</v>
      </c>
      <c r="J1083" s="3179">
        <v>2.7</v>
      </c>
      <c r="L1083" s="3177">
        <v>1081</v>
      </c>
      <c r="M1083" s="3175">
        <v>-10295</v>
      </c>
      <c r="N1083" s="3175" t="s">
        <v>4187</v>
      </c>
      <c r="O1083" s="3176">
        <v>26.98</v>
      </c>
      <c r="P1083" s="3176">
        <v>8.49</v>
      </c>
    </row>
    <row r="1084" spans="1:16" ht="15" thickBot="1">
      <c r="A1084" s="3174">
        <v>1082</v>
      </c>
      <c r="B1084" s="3175" t="s">
        <v>4522</v>
      </c>
      <c r="C1084" s="3176">
        <v>88.97</v>
      </c>
      <c r="D1084" s="3176">
        <v>28.01</v>
      </c>
      <c r="F1084" s="3177">
        <v>1082</v>
      </c>
      <c r="G1084" s="3175" t="s">
        <v>4521</v>
      </c>
      <c r="H1084" s="3178">
        <v>-1002</v>
      </c>
      <c r="I1084" s="3179">
        <v>8.7899999999999991</v>
      </c>
      <c r="J1084" s="3179">
        <v>2.77</v>
      </c>
      <c r="L1084" s="3177">
        <v>1082</v>
      </c>
      <c r="M1084" s="3175">
        <v>-10296</v>
      </c>
      <c r="N1084" s="3175" t="s">
        <v>4187</v>
      </c>
      <c r="O1084" s="3176">
        <v>26.98</v>
      </c>
      <c r="P1084" s="3176">
        <v>8.49</v>
      </c>
    </row>
    <row r="1085" spans="1:16" ht="15" thickBot="1">
      <c r="A1085" s="3174">
        <v>1083</v>
      </c>
      <c r="B1085" s="3175" t="s">
        <v>4523</v>
      </c>
      <c r="C1085" s="3176">
        <v>88.97</v>
      </c>
      <c r="D1085" s="3176">
        <v>28.01</v>
      </c>
      <c r="F1085" s="3177">
        <v>1083</v>
      </c>
      <c r="G1085" s="3175" t="s">
        <v>4521</v>
      </c>
      <c r="H1085" s="3178">
        <v>-1003</v>
      </c>
      <c r="I1085" s="3179">
        <v>13.18</v>
      </c>
      <c r="J1085" s="3179">
        <v>4.1500000000000004</v>
      </c>
      <c r="L1085" s="3177">
        <v>1083</v>
      </c>
      <c r="M1085" s="3175">
        <v>-10297</v>
      </c>
      <c r="N1085" s="3175" t="s">
        <v>4187</v>
      </c>
      <c r="O1085" s="3176">
        <v>26.98</v>
      </c>
      <c r="P1085" s="3176">
        <v>8.49</v>
      </c>
    </row>
    <row r="1086" spans="1:16" ht="15" thickBot="1">
      <c r="A1086" s="3174">
        <v>1084</v>
      </c>
      <c r="B1086" s="3175" t="s">
        <v>4524</v>
      </c>
      <c r="C1086" s="3176">
        <v>88.39</v>
      </c>
      <c r="D1086" s="3176">
        <v>27.83</v>
      </c>
      <c r="F1086" s="3177">
        <v>1084</v>
      </c>
      <c r="G1086" s="3175" t="s">
        <v>4521</v>
      </c>
      <c r="H1086" s="3178">
        <v>-1004</v>
      </c>
      <c r="I1086" s="3179">
        <v>16.14</v>
      </c>
      <c r="J1086" s="3179">
        <v>5.08</v>
      </c>
      <c r="L1086" s="3177">
        <v>1084</v>
      </c>
      <c r="M1086" s="3175">
        <v>-10298</v>
      </c>
      <c r="N1086" s="3175" t="s">
        <v>4187</v>
      </c>
      <c r="O1086" s="3176">
        <v>26.98</v>
      </c>
      <c r="P1086" s="3176">
        <v>8.49</v>
      </c>
    </row>
    <row r="1087" spans="1:16" ht="15" thickBot="1">
      <c r="A1087" s="3174">
        <v>1085</v>
      </c>
      <c r="B1087" s="3175" t="s">
        <v>4525</v>
      </c>
      <c r="C1087" s="3176">
        <v>112.6</v>
      </c>
      <c r="D1087" s="3176">
        <v>35.450000000000003</v>
      </c>
      <c r="F1087" s="3177">
        <v>1085</v>
      </c>
      <c r="G1087" s="3175" t="s">
        <v>4521</v>
      </c>
      <c r="H1087" s="3178">
        <v>-1005</v>
      </c>
      <c r="I1087" s="3179">
        <v>15.69</v>
      </c>
      <c r="J1087" s="3179">
        <v>4.9400000000000004</v>
      </c>
      <c r="L1087" s="3177">
        <v>1085</v>
      </c>
      <c r="M1087" s="3175">
        <v>-10299</v>
      </c>
      <c r="N1087" s="3175" t="s">
        <v>4187</v>
      </c>
      <c r="O1087" s="3176">
        <v>26.98</v>
      </c>
      <c r="P1087" s="3176">
        <v>8.49</v>
      </c>
    </row>
    <row r="1088" spans="1:16" ht="15" thickBot="1">
      <c r="A1088" s="3174">
        <v>1086</v>
      </c>
      <c r="B1088" s="3175" t="s">
        <v>4526</v>
      </c>
      <c r="C1088" s="3176">
        <v>88.97</v>
      </c>
      <c r="D1088" s="3176">
        <v>28.01</v>
      </c>
      <c r="F1088" s="3177">
        <v>1086</v>
      </c>
      <c r="G1088" s="3175" t="s">
        <v>4521</v>
      </c>
      <c r="H1088" s="3178">
        <v>-1006</v>
      </c>
      <c r="I1088" s="3179">
        <v>15.69</v>
      </c>
      <c r="J1088" s="3179">
        <v>4.9400000000000004</v>
      </c>
      <c r="L1088" s="3177">
        <v>1086</v>
      </c>
      <c r="M1088" s="3175">
        <v>-10300</v>
      </c>
      <c r="N1088" s="3175" t="s">
        <v>4187</v>
      </c>
      <c r="O1088" s="3176">
        <v>26.98</v>
      </c>
      <c r="P1088" s="3176">
        <v>8.49</v>
      </c>
    </row>
    <row r="1089" spans="1:16" ht="15" thickBot="1">
      <c r="A1089" s="3174">
        <v>1087</v>
      </c>
      <c r="B1089" s="3175" t="s">
        <v>4527</v>
      </c>
      <c r="C1089" s="3176">
        <v>88.97</v>
      </c>
      <c r="D1089" s="3176">
        <v>28.01</v>
      </c>
      <c r="F1089" s="3177">
        <v>1087</v>
      </c>
      <c r="G1089" s="3175" t="s">
        <v>4521</v>
      </c>
      <c r="H1089" s="3178">
        <v>-1007</v>
      </c>
      <c r="I1089" s="3179">
        <v>15.69</v>
      </c>
      <c r="J1089" s="3179">
        <v>4.9400000000000004</v>
      </c>
      <c r="L1089" s="3177">
        <v>1087</v>
      </c>
      <c r="M1089" s="3175">
        <v>-10301</v>
      </c>
      <c r="N1089" s="3175" t="s">
        <v>4187</v>
      </c>
      <c r="O1089" s="3176">
        <v>26.98</v>
      </c>
      <c r="P1089" s="3176">
        <v>8.49</v>
      </c>
    </row>
    <row r="1090" spans="1:16" ht="15" thickBot="1">
      <c r="A1090" s="3174">
        <v>1088</v>
      </c>
      <c r="B1090" s="3175" t="s">
        <v>4528</v>
      </c>
      <c r="C1090" s="3176">
        <v>89.26</v>
      </c>
      <c r="D1090" s="3176">
        <v>28.1</v>
      </c>
      <c r="F1090" s="3177">
        <v>1088</v>
      </c>
      <c r="G1090" s="3175" t="s">
        <v>4521</v>
      </c>
      <c r="H1090" s="3178">
        <v>-1008</v>
      </c>
      <c r="I1090" s="3179">
        <v>15.2</v>
      </c>
      <c r="J1090" s="3179">
        <v>4.79</v>
      </c>
      <c r="L1090" s="3177">
        <v>1088</v>
      </c>
      <c r="M1090" s="3175">
        <v>-10302</v>
      </c>
      <c r="N1090" s="3175" t="s">
        <v>4187</v>
      </c>
      <c r="O1090" s="3176">
        <v>26.98</v>
      </c>
      <c r="P1090" s="3176">
        <v>8.49</v>
      </c>
    </row>
    <row r="1091" spans="1:16" ht="15" thickBot="1">
      <c r="A1091" s="3174">
        <v>1089</v>
      </c>
      <c r="B1091" s="3175" t="s">
        <v>4529</v>
      </c>
      <c r="C1091" s="3176">
        <v>112.6</v>
      </c>
      <c r="D1091" s="3176">
        <v>35.450000000000003</v>
      </c>
      <c r="F1091" s="3177">
        <v>1089</v>
      </c>
      <c r="G1091" s="3175" t="s">
        <v>4521</v>
      </c>
      <c r="H1091" s="3178">
        <v>-1009</v>
      </c>
      <c r="I1091" s="3179">
        <v>15.69</v>
      </c>
      <c r="J1091" s="3179">
        <v>4.9400000000000004</v>
      </c>
      <c r="L1091" s="3177">
        <v>1089</v>
      </c>
      <c r="M1091" s="3175">
        <v>-10303</v>
      </c>
      <c r="N1091" s="3175" t="s">
        <v>4187</v>
      </c>
      <c r="O1091" s="3176">
        <v>26.98</v>
      </c>
      <c r="P1091" s="3176">
        <v>8.49</v>
      </c>
    </row>
    <row r="1092" spans="1:16" ht="15" thickBot="1">
      <c r="A1092" s="3174">
        <v>1090</v>
      </c>
      <c r="B1092" s="3175" t="s">
        <v>4530</v>
      </c>
      <c r="C1092" s="3176">
        <v>88.97</v>
      </c>
      <c r="D1092" s="3176">
        <v>28.01</v>
      </c>
      <c r="F1092" s="3177">
        <v>1090</v>
      </c>
      <c r="G1092" s="3175" t="s">
        <v>4521</v>
      </c>
      <c r="H1092" s="3178">
        <v>-1010</v>
      </c>
      <c r="I1092" s="3179">
        <v>17.66</v>
      </c>
      <c r="J1092" s="3179">
        <v>5.56</v>
      </c>
      <c r="L1092" s="3177">
        <v>1090</v>
      </c>
      <c r="M1092" s="3175">
        <v>-10304</v>
      </c>
      <c r="N1092" s="3175" t="s">
        <v>4187</v>
      </c>
      <c r="O1092" s="3176">
        <v>26.98</v>
      </c>
      <c r="P1092" s="3176">
        <v>8.49</v>
      </c>
    </row>
    <row r="1093" spans="1:16" ht="15" thickBot="1">
      <c r="A1093" s="3174">
        <v>1091</v>
      </c>
      <c r="B1093" s="3175" t="s">
        <v>4531</v>
      </c>
      <c r="C1093" s="3176">
        <v>88.97</v>
      </c>
      <c r="D1093" s="3176">
        <v>28.01</v>
      </c>
      <c r="F1093" s="3177">
        <v>1091</v>
      </c>
      <c r="G1093" s="3175" t="s">
        <v>4521</v>
      </c>
      <c r="H1093" s="3178">
        <v>-1011</v>
      </c>
      <c r="I1093" s="3179">
        <v>17.940000000000001</v>
      </c>
      <c r="J1093" s="3179">
        <v>5.65</v>
      </c>
      <c r="L1093" s="3177">
        <v>1091</v>
      </c>
      <c r="M1093" s="3175">
        <v>-10305</v>
      </c>
      <c r="N1093" s="3175" t="s">
        <v>4187</v>
      </c>
      <c r="O1093" s="3176">
        <v>26.98</v>
      </c>
      <c r="P1093" s="3176">
        <v>8.49</v>
      </c>
    </row>
    <row r="1094" spans="1:16" ht="15" thickBot="1">
      <c r="A1094" s="3174">
        <v>1092</v>
      </c>
      <c r="B1094" s="3175" t="s">
        <v>4532</v>
      </c>
      <c r="C1094" s="3176">
        <v>89.26</v>
      </c>
      <c r="D1094" s="3176">
        <v>28.1</v>
      </c>
      <c r="F1094" s="3177">
        <v>1092</v>
      </c>
      <c r="G1094" s="3175" t="s">
        <v>4521</v>
      </c>
      <c r="H1094" s="3178">
        <v>-1012</v>
      </c>
      <c r="I1094" s="3179">
        <v>16.170000000000002</v>
      </c>
      <c r="J1094" s="3179">
        <v>5.09</v>
      </c>
      <c r="L1094" s="3177">
        <v>1092</v>
      </c>
      <c r="M1094" s="3175">
        <v>-10306</v>
      </c>
      <c r="N1094" s="3175" t="s">
        <v>4187</v>
      </c>
      <c r="O1094" s="3176">
        <v>26.98</v>
      </c>
      <c r="P1094" s="3176">
        <v>8.49</v>
      </c>
    </row>
    <row r="1095" spans="1:16" ht="15" thickBot="1">
      <c r="A1095" s="3174">
        <v>1093</v>
      </c>
      <c r="B1095" s="3175" t="s">
        <v>4533</v>
      </c>
      <c r="C1095" s="3176">
        <v>112.6</v>
      </c>
      <c r="D1095" s="3176">
        <v>35.450000000000003</v>
      </c>
      <c r="F1095" s="3177">
        <v>1093</v>
      </c>
      <c r="G1095" s="3175" t="s">
        <v>4521</v>
      </c>
      <c r="H1095" s="3178">
        <v>-1013</v>
      </c>
      <c r="I1095" s="3179">
        <v>22.3</v>
      </c>
      <c r="J1095" s="3179">
        <v>7.02</v>
      </c>
      <c r="L1095" s="3177">
        <v>1093</v>
      </c>
      <c r="M1095" s="3175">
        <v>-10307</v>
      </c>
      <c r="N1095" s="3175" t="s">
        <v>4187</v>
      </c>
      <c r="O1095" s="3176">
        <v>26.98</v>
      </c>
      <c r="P1095" s="3176">
        <v>8.49</v>
      </c>
    </row>
    <row r="1096" spans="1:16" ht="15" thickBot="1">
      <c r="A1096" s="3174">
        <v>1094</v>
      </c>
      <c r="B1096" s="3175" t="s">
        <v>4534</v>
      </c>
      <c r="C1096" s="3176">
        <v>88.97</v>
      </c>
      <c r="D1096" s="3176">
        <v>28.01</v>
      </c>
      <c r="F1096" s="3177">
        <v>1094</v>
      </c>
      <c r="G1096" s="3175" t="s">
        <v>4521</v>
      </c>
      <c r="H1096" s="3178">
        <v>-1014</v>
      </c>
      <c r="I1096" s="3179">
        <v>10.26</v>
      </c>
      <c r="J1096" s="3179">
        <v>3.23</v>
      </c>
      <c r="L1096" s="3177">
        <v>1094</v>
      </c>
      <c r="M1096" s="3175">
        <v>-10308</v>
      </c>
      <c r="N1096" s="3175" t="s">
        <v>4187</v>
      </c>
      <c r="O1096" s="3176">
        <v>26.98</v>
      </c>
      <c r="P1096" s="3176">
        <v>8.49</v>
      </c>
    </row>
    <row r="1097" spans="1:16" ht="15" thickBot="1">
      <c r="A1097" s="3174">
        <v>1095</v>
      </c>
      <c r="B1097" s="3175" t="s">
        <v>4535</v>
      </c>
      <c r="C1097" s="3176">
        <v>88.97</v>
      </c>
      <c r="D1097" s="3176">
        <v>28.01</v>
      </c>
      <c r="F1097" s="3177">
        <v>1095</v>
      </c>
      <c r="G1097" s="3175" t="s">
        <v>4521</v>
      </c>
      <c r="H1097" s="3178">
        <v>-1015</v>
      </c>
      <c r="I1097" s="3179">
        <v>9.98</v>
      </c>
      <c r="J1097" s="3179">
        <v>3.14</v>
      </c>
      <c r="L1097" s="3177">
        <v>1095</v>
      </c>
      <c r="M1097" s="3175">
        <v>-10309</v>
      </c>
      <c r="N1097" s="3175" t="s">
        <v>4187</v>
      </c>
      <c r="O1097" s="3176">
        <v>26.98</v>
      </c>
      <c r="P1097" s="3176">
        <v>8.49</v>
      </c>
    </row>
    <row r="1098" spans="1:16" ht="15" thickBot="1">
      <c r="A1098" s="3174">
        <v>1096</v>
      </c>
      <c r="B1098" s="3175" t="s">
        <v>4536</v>
      </c>
      <c r="C1098" s="3176">
        <v>89.26</v>
      </c>
      <c r="D1098" s="3176">
        <v>28.1</v>
      </c>
      <c r="F1098" s="3177">
        <v>1096</v>
      </c>
      <c r="G1098" s="3175" t="s">
        <v>4521</v>
      </c>
      <c r="H1098" s="3178">
        <v>-1016</v>
      </c>
      <c r="I1098" s="3179">
        <v>12.32</v>
      </c>
      <c r="J1098" s="3179">
        <v>3.88</v>
      </c>
      <c r="L1098" s="3177">
        <v>1096</v>
      </c>
      <c r="M1098" s="3175">
        <v>-10310</v>
      </c>
      <c r="N1098" s="3175" t="s">
        <v>4187</v>
      </c>
      <c r="O1098" s="3176">
        <v>26.98</v>
      </c>
      <c r="P1098" s="3176">
        <v>8.49</v>
      </c>
    </row>
    <row r="1099" spans="1:16" ht="15" thickBot="1">
      <c r="A1099" s="3174">
        <v>1097</v>
      </c>
      <c r="B1099" s="3175" t="s">
        <v>4537</v>
      </c>
      <c r="C1099" s="3176">
        <v>112.6</v>
      </c>
      <c r="D1099" s="3176">
        <v>35.450000000000003</v>
      </c>
      <c r="F1099" s="3177">
        <v>1097</v>
      </c>
      <c r="G1099" s="3175" t="s">
        <v>4521</v>
      </c>
      <c r="H1099" s="3178">
        <v>-1017</v>
      </c>
      <c r="I1099" s="3179">
        <v>11.63</v>
      </c>
      <c r="J1099" s="3179">
        <v>3.66</v>
      </c>
      <c r="L1099" s="3177">
        <v>1097</v>
      </c>
      <c r="M1099" s="3175">
        <v>-10311</v>
      </c>
      <c r="N1099" s="3175" t="s">
        <v>4187</v>
      </c>
      <c r="O1099" s="3176">
        <v>26.98</v>
      </c>
      <c r="P1099" s="3176">
        <v>8.49</v>
      </c>
    </row>
    <row r="1100" spans="1:16" ht="15" thickBot="1">
      <c r="A1100" s="3174">
        <v>1098</v>
      </c>
      <c r="B1100" s="3175" t="s">
        <v>4538</v>
      </c>
      <c r="C1100" s="3176">
        <v>88.97</v>
      </c>
      <c r="D1100" s="3176">
        <v>28.01</v>
      </c>
      <c r="F1100" s="3177">
        <v>1098</v>
      </c>
      <c r="G1100" s="3175" t="s">
        <v>4521</v>
      </c>
      <c r="H1100" s="3178">
        <v>-1018</v>
      </c>
      <c r="I1100" s="3179">
        <v>11.99</v>
      </c>
      <c r="J1100" s="3179">
        <v>3.77</v>
      </c>
      <c r="L1100" s="3177">
        <v>1098</v>
      </c>
      <c r="M1100" s="3175">
        <v>-10312</v>
      </c>
      <c r="N1100" s="3175" t="s">
        <v>4187</v>
      </c>
      <c r="O1100" s="3176">
        <v>26.98</v>
      </c>
      <c r="P1100" s="3176">
        <v>8.49</v>
      </c>
    </row>
    <row r="1101" spans="1:16" ht="15" thickBot="1">
      <c r="A1101" s="3174">
        <v>1099</v>
      </c>
      <c r="B1101" s="3175" t="s">
        <v>4539</v>
      </c>
      <c r="C1101" s="3176">
        <v>88.97</v>
      </c>
      <c r="D1101" s="3176">
        <v>28.01</v>
      </c>
      <c r="F1101" s="3177">
        <v>1099</v>
      </c>
      <c r="G1101" s="3175" t="s">
        <v>4521</v>
      </c>
      <c r="H1101" s="3178">
        <v>-1019</v>
      </c>
      <c r="I1101" s="3179">
        <v>16.02</v>
      </c>
      <c r="J1101" s="3179">
        <v>5.04</v>
      </c>
      <c r="L1101" s="3177">
        <v>1099</v>
      </c>
      <c r="M1101" s="3175">
        <v>-10313</v>
      </c>
      <c r="N1101" s="3175" t="s">
        <v>4187</v>
      </c>
      <c r="O1101" s="3176">
        <v>26.98</v>
      </c>
      <c r="P1101" s="3176">
        <v>8.49</v>
      </c>
    </row>
    <row r="1102" spans="1:16" ht="15" thickBot="1">
      <c r="A1102" s="3174">
        <v>1100</v>
      </c>
      <c r="B1102" s="3175" t="s">
        <v>4540</v>
      </c>
      <c r="C1102" s="3176">
        <v>89.26</v>
      </c>
      <c r="D1102" s="3176">
        <v>28.1</v>
      </c>
      <c r="F1102" s="3177">
        <v>1100</v>
      </c>
      <c r="G1102" s="3175" t="s">
        <v>4521</v>
      </c>
      <c r="H1102" s="3178">
        <v>-1020</v>
      </c>
      <c r="I1102" s="3179">
        <v>13.91</v>
      </c>
      <c r="J1102" s="3179">
        <v>4.38</v>
      </c>
      <c r="L1102" s="3177">
        <v>1100</v>
      </c>
      <c r="M1102" s="3175">
        <v>-10314</v>
      </c>
      <c r="N1102" s="3175" t="s">
        <v>4187</v>
      </c>
      <c r="O1102" s="3176">
        <v>26.98</v>
      </c>
      <c r="P1102" s="3176">
        <v>8.49</v>
      </c>
    </row>
    <row r="1103" spans="1:16" ht="15" thickBot="1">
      <c r="A1103" s="3174">
        <v>1101</v>
      </c>
      <c r="B1103" s="3175" t="s">
        <v>4541</v>
      </c>
      <c r="C1103" s="3176">
        <v>112.6</v>
      </c>
      <c r="D1103" s="3176">
        <v>35.450000000000003</v>
      </c>
      <c r="F1103" s="3177">
        <v>1101</v>
      </c>
      <c r="G1103" s="3175" t="s">
        <v>4521</v>
      </c>
      <c r="H1103" s="3178">
        <v>-1021</v>
      </c>
      <c r="I1103" s="3179">
        <v>14.17</v>
      </c>
      <c r="J1103" s="3179">
        <v>4.46</v>
      </c>
      <c r="L1103" s="3177">
        <v>1101</v>
      </c>
      <c r="M1103" s="3175">
        <v>-10315</v>
      </c>
      <c r="N1103" s="3175" t="s">
        <v>4187</v>
      </c>
      <c r="O1103" s="3176">
        <v>26.98</v>
      </c>
      <c r="P1103" s="3176">
        <v>8.49</v>
      </c>
    </row>
    <row r="1104" spans="1:16" ht="15" thickBot="1">
      <c r="A1104" s="3174">
        <v>1102</v>
      </c>
      <c r="B1104" s="3175" t="s">
        <v>4542</v>
      </c>
      <c r="C1104" s="3176">
        <v>88.97</v>
      </c>
      <c r="D1104" s="3176">
        <v>28.01</v>
      </c>
      <c r="F1104" s="3177">
        <v>1102</v>
      </c>
      <c r="G1104" s="3175" t="s">
        <v>4521</v>
      </c>
      <c r="H1104" s="3178">
        <v>-1022</v>
      </c>
      <c r="I1104" s="3179">
        <v>9.86</v>
      </c>
      <c r="J1104" s="3179">
        <v>3.1</v>
      </c>
      <c r="L1104" s="3177">
        <v>1102</v>
      </c>
      <c r="M1104" s="3175">
        <v>-10316</v>
      </c>
      <c r="N1104" s="3175" t="s">
        <v>4187</v>
      </c>
      <c r="O1104" s="3176">
        <v>26.98</v>
      </c>
      <c r="P1104" s="3176">
        <v>8.49</v>
      </c>
    </row>
    <row r="1105" spans="1:16" ht="15" thickBot="1">
      <c r="A1105" s="3174">
        <v>1103</v>
      </c>
      <c r="B1105" s="3175" t="s">
        <v>4543</v>
      </c>
      <c r="C1105" s="3176">
        <v>88.97</v>
      </c>
      <c r="D1105" s="3176">
        <v>28.01</v>
      </c>
      <c r="F1105" s="3177">
        <v>1103</v>
      </c>
      <c r="G1105" s="3175" t="s">
        <v>4521</v>
      </c>
      <c r="H1105" s="3178">
        <v>-1023</v>
      </c>
      <c r="I1105" s="3179">
        <v>9.86</v>
      </c>
      <c r="J1105" s="3179">
        <v>3.1</v>
      </c>
      <c r="L1105" s="3177">
        <v>1103</v>
      </c>
      <c r="M1105" s="3175">
        <v>-10317</v>
      </c>
      <c r="N1105" s="3175" t="s">
        <v>4187</v>
      </c>
      <c r="O1105" s="3176">
        <v>26.98</v>
      </c>
      <c r="P1105" s="3176">
        <v>8.49</v>
      </c>
    </row>
    <row r="1106" spans="1:16" ht="15" thickBot="1">
      <c r="A1106" s="3174">
        <v>1104</v>
      </c>
      <c r="B1106" s="3175" t="s">
        <v>4544</v>
      </c>
      <c r="C1106" s="3176">
        <v>89.26</v>
      </c>
      <c r="D1106" s="3176">
        <v>28.1</v>
      </c>
      <c r="F1106" s="3177">
        <v>1104</v>
      </c>
      <c r="G1106" s="3175" t="s">
        <v>4521</v>
      </c>
      <c r="H1106" s="3178">
        <v>-1024</v>
      </c>
      <c r="I1106" s="3179">
        <v>9.86</v>
      </c>
      <c r="J1106" s="3179">
        <v>3.1</v>
      </c>
      <c r="L1106" s="3177">
        <v>1104</v>
      </c>
      <c r="M1106" s="3175">
        <v>-10318</v>
      </c>
      <c r="N1106" s="3175" t="s">
        <v>4187</v>
      </c>
      <c r="O1106" s="3176">
        <v>26.98</v>
      </c>
      <c r="P1106" s="3176">
        <v>8.49</v>
      </c>
    </row>
    <row r="1107" spans="1:16" ht="15" thickBot="1">
      <c r="A1107" s="3174">
        <v>1105</v>
      </c>
      <c r="B1107" s="3175" t="s">
        <v>4545</v>
      </c>
      <c r="C1107" s="3176">
        <v>112.6</v>
      </c>
      <c r="D1107" s="3176">
        <v>35.450000000000003</v>
      </c>
      <c r="F1107" s="3177">
        <v>1105</v>
      </c>
      <c r="G1107" s="3175" t="s">
        <v>4521</v>
      </c>
      <c r="H1107" s="3178">
        <v>-1025</v>
      </c>
      <c r="I1107" s="3179">
        <v>9.86</v>
      </c>
      <c r="J1107" s="3179">
        <v>3.1</v>
      </c>
      <c r="L1107" s="3177">
        <v>1105</v>
      </c>
      <c r="M1107" s="3175">
        <v>-10319</v>
      </c>
      <c r="N1107" s="3175" t="s">
        <v>4187</v>
      </c>
      <c r="O1107" s="3176">
        <v>26.98</v>
      </c>
      <c r="P1107" s="3176">
        <v>8.49</v>
      </c>
    </row>
    <row r="1108" spans="1:16" ht="15" thickBot="1">
      <c r="A1108" s="3174">
        <v>1106</v>
      </c>
      <c r="B1108" s="3175" t="s">
        <v>4546</v>
      </c>
      <c r="C1108" s="3176">
        <v>88.97</v>
      </c>
      <c r="D1108" s="3176">
        <v>28.01</v>
      </c>
      <c r="F1108" s="3177">
        <v>1106</v>
      </c>
      <c r="G1108" s="3175" t="s">
        <v>4521</v>
      </c>
      <c r="H1108" s="3178">
        <v>-1026</v>
      </c>
      <c r="I1108" s="3179">
        <v>18.52</v>
      </c>
      <c r="J1108" s="3179">
        <v>5.83</v>
      </c>
      <c r="L1108" s="3177">
        <v>1106</v>
      </c>
      <c r="M1108" s="3175">
        <v>-10320</v>
      </c>
      <c r="N1108" s="3175" t="s">
        <v>4187</v>
      </c>
      <c r="O1108" s="3176">
        <v>26.98</v>
      </c>
      <c r="P1108" s="3176">
        <v>8.49</v>
      </c>
    </row>
    <row r="1109" spans="1:16" ht="15" thickBot="1">
      <c r="A1109" s="3174">
        <v>1107</v>
      </c>
      <c r="B1109" s="3175" t="s">
        <v>4547</v>
      </c>
      <c r="C1109" s="3176">
        <v>88.97</v>
      </c>
      <c r="D1109" s="3176">
        <v>28.01</v>
      </c>
      <c r="F1109" s="3177">
        <v>1107</v>
      </c>
      <c r="G1109" s="3175" t="s">
        <v>4548</v>
      </c>
      <c r="H1109" s="3178">
        <v>-2001</v>
      </c>
      <c r="I1109" s="3179">
        <v>8.61</v>
      </c>
      <c r="J1109" s="3179">
        <v>2.71</v>
      </c>
      <c r="L1109" s="3177">
        <v>1107</v>
      </c>
      <c r="M1109" s="3175">
        <v>-10321</v>
      </c>
      <c r="N1109" s="3175" t="s">
        <v>4187</v>
      </c>
      <c r="O1109" s="3176">
        <v>26.98</v>
      </c>
      <c r="P1109" s="3176">
        <v>8.49</v>
      </c>
    </row>
    <row r="1110" spans="1:16" ht="15" thickBot="1">
      <c r="A1110" s="3174">
        <v>1108</v>
      </c>
      <c r="B1110" s="3175" t="s">
        <v>4549</v>
      </c>
      <c r="C1110" s="3176">
        <v>89.26</v>
      </c>
      <c r="D1110" s="3176">
        <v>28.1</v>
      </c>
      <c r="F1110" s="3177">
        <v>1108</v>
      </c>
      <c r="G1110" s="3175" t="s">
        <v>4548</v>
      </c>
      <c r="H1110" s="3178">
        <v>-2002</v>
      </c>
      <c r="I1110" s="3179">
        <v>8.48</v>
      </c>
      <c r="J1110" s="3179">
        <v>2.67</v>
      </c>
      <c r="L1110" s="3177">
        <v>1108</v>
      </c>
      <c r="M1110" s="3175">
        <v>-10322</v>
      </c>
      <c r="N1110" s="3175" t="s">
        <v>4187</v>
      </c>
      <c r="O1110" s="3176">
        <v>26.98</v>
      </c>
      <c r="P1110" s="3176">
        <v>8.49</v>
      </c>
    </row>
    <row r="1111" spans="1:16" ht="15" thickBot="1">
      <c r="A1111" s="3174">
        <v>1109</v>
      </c>
      <c r="B1111" s="3175" t="s">
        <v>4550</v>
      </c>
      <c r="C1111" s="3176">
        <v>112.6</v>
      </c>
      <c r="D1111" s="3176">
        <v>35.450000000000003</v>
      </c>
      <c r="F1111" s="3177">
        <v>1109</v>
      </c>
      <c r="G1111" s="3175" t="s">
        <v>4548</v>
      </c>
      <c r="H1111" s="3178">
        <v>-2003</v>
      </c>
      <c r="I1111" s="3179">
        <v>10.99</v>
      </c>
      <c r="J1111" s="3179">
        <v>3.46</v>
      </c>
      <c r="L1111" s="3177">
        <v>1109</v>
      </c>
      <c r="M1111" s="3175">
        <v>-10323</v>
      </c>
      <c r="N1111" s="3175" t="s">
        <v>4187</v>
      </c>
      <c r="O1111" s="3176">
        <v>26.98</v>
      </c>
      <c r="P1111" s="3176">
        <v>8.49</v>
      </c>
    </row>
    <row r="1112" spans="1:16" ht="15" thickBot="1">
      <c r="A1112" s="3174">
        <v>1110</v>
      </c>
      <c r="B1112" s="3175" t="s">
        <v>4551</v>
      </c>
      <c r="C1112" s="3176">
        <v>88.97</v>
      </c>
      <c r="D1112" s="3176">
        <v>28.01</v>
      </c>
      <c r="F1112" s="3177">
        <v>1110</v>
      </c>
      <c r="G1112" s="3175" t="s">
        <v>4548</v>
      </c>
      <c r="H1112" s="3178">
        <v>-2004</v>
      </c>
      <c r="I1112" s="3179">
        <v>14.79</v>
      </c>
      <c r="J1112" s="3179">
        <v>4.66</v>
      </c>
      <c r="L1112" s="3177">
        <v>1110</v>
      </c>
      <c r="M1112" s="3175">
        <v>-10324</v>
      </c>
      <c r="N1112" s="3175" t="s">
        <v>4187</v>
      </c>
      <c r="O1112" s="3176">
        <v>26.98</v>
      </c>
      <c r="P1112" s="3176">
        <v>8.49</v>
      </c>
    </row>
    <row r="1113" spans="1:16" ht="15" thickBot="1">
      <c r="A1113" s="3174">
        <v>1111</v>
      </c>
      <c r="B1113" s="3175" t="s">
        <v>4552</v>
      </c>
      <c r="C1113" s="3176">
        <v>88.97</v>
      </c>
      <c r="D1113" s="3176">
        <v>28.01</v>
      </c>
      <c r="F1113" s="3177">
        <v>1111</v>
      </c>
      <c r="G1113" s="3175" t="s">
        <v>4548</v>
      </c>
      <c r="H1113" s="3178">
        <v>-2005</v>
      </c>
      <c r="I1113" s="3179">
        <v>6.88</v>
      </c>
      <c r="J1113" s="3179">
        <v>2.17</v>
      </c>
      <c r="L1113" s="3177">
        <v>1111</v>
      </c>
      <c r="M1113" s="3175">
        <v>-10325</v>
      </c>
      <c r="N1113" s="3175" t="s">
        <v>4187</v>
      </c>
      <c r="O1113" s="3176">
        <v>26.98</v>
      </c>
      <c r="P1113" s="3176">
        <v>8.49</v>
      </c>
    </row>
    <row r="1114" spans="1:16" ht="15" thickBot="1">
      <c r="A1114" s="3174">
        <v>1112</v>
      </c>
      <c r="B1114" s="3175" t="s">
        <v>4553</v>
      </c>
      <c r="C1114" s="3176">
        <v>89.26</v>
      </c>
      <c r="D1114" s="3176">
        <v>28.1</v>
      </c>
      <c r="F1114" s="3177">
        <v>1112</v>
      </c>
      <c r="G1114" s="3175" t="s">
        <v>4548</v>
      </c>
      <c r="H1114" s="3178">
        <v>-2006</v>
      </c>
      <c r="I1114" s="3179">
        <v>6.69</v>
      </c>
      <c r="J1114" s="3179">
        <v>2.11</v>
      </c>
      <c r="L1114" s="3177">
        <v>1112</v>
      </c>
      <c r="M1114" s="3175">
        <v>-10326</v>
      </c>
      <c r="N1114" s="3175" t="s">
        <v>4187</v>
      </c>
      <c r="O1114" s="3176">
        <v>26.98</v>
      </c>
      <c r="P1114" s="3176">
        <v>8.49</v>
      </c>
    </row>
    <row r="1115" spans="1:16" ht="15" thickBot="1">
      <c r="A1115" s="3174">
        <v>1113</v>
      </c>
      <c r="B1115" s="3175" t="s">
        <v>4554</v>
      </c>
      <c r="C1115" s="3176">
        <v>112.6</v>
      </c>
      <c r="D1115" s="3176">
        <v>35.450000000000003</v>
      </c>
      <c r="F1115" s="3177">
        <v>1113</v>
      </c>
      <c r="G1115" s="3175" t="s">
        <v>4548</v>
      </c>
      <c r="H1115" s="3178">
        <v>-2007</v>
      </c>
      <c r="I1115" s="3179">
        <v>8.48</v>
      </c>
      <c r="J1115" s="3179">
        <v>2.67</v>
      </c>
      <c r="L1115" s="3177">
        <v>1113</v>
      </c>
      <c r="M1115" s="3175">
        <v>-10327</v>
      </c>
      <c r="N1115" s="3175" t="s">
        <v>4187</v>
      </c>
      <c r="O1115" s="3176">
        <v>26.98</v>
      </c>
      <c r="P1115" s="3176">
        <v>8.49</v>
      </c>
    </row>
    <row r="1116" spans="1:16" ht="15" thickBot="1">
      <c r="A1116" s="3174">
        <v>1114</v>
      </c>
      <c r="B1116" s="3175" t="s">
        <v>4555</v>
      </c>
      <c r="C1116" s="3176">
        <v>88.97</v>
      </c>
      <c r="D1116" s="3176">
        <v>28.01</v>
      </c>
      <c r="F1116" s="3177">
        <v>1114</v>
      </c>
      <c r="G1116" s="3175" t="s">
        <v>4548</v>
      </c>
      <c r="H1116" s="3178">
        <v>-2008</v>
      </c>
      <c r="I1116" s="3179">
        <v>9.61</v>
      </c>
      <c r="J1116" s="3179">
        <v>3.03</v>
      </c>
      <c r="L1116" s="3177">
        <v>1114</v>
      </c>
      <c r="M1116" s="3175">
        <v>-10328</v>
      </c>
      <c r="N1116" s="3175" t="s">
        <v>4187</v>
      </c>
      <c r="O1116" s="3176">
        <v>26.98</v>
      </c>
      <c r="P1116" s="3176">
        <v>8.49</v>
      </c>
    </row>
    <row r="1117" spans="1:16" ht="15" thickBot="1">
      <c r="A1117" s="3174">
        <v>1115</v>
      </c>
      <c r="B1117" s="3175" t="s">
        <v>4556</v>
      </c>
      <c r="C1117" s="3176">
        <v>88.97</v>
      </c>
      <c r="D1117" s="3176">
        <v>28.01</v>
      </c>
      <c r="F1117" s="3177">
        <v>1115</v>
      </c>
      <c r="G1117" s="3175" t="s">
        <v>4548</v>
      </c>
      <c r="H1117" s="3178">
        <v>-2009</v>
      </c>
      <c r="I1117" s="3179">
        <v>11.46</v>
      </c>
      <c r="J1117" s="3179">
        <v>3.61</v>
      </c>
      <c r="L1117" s="3177">
        <v>1115</v>
      </c>
      <c r="M1117" s="3175">
        <v>-10329</v>
      </c>
      <c r="N1117" s="3175" t="s">
        <v>4187</v>
      </c>
      <c r="O1117" s="3176">
        <v>26.98</v>
      </c>
      <c r="P1117" s="3176">
        <v>8.49</v>
      </c>
    </row>
    <row r="1118" spans="1:16" ht="15" thickBot="1">
      <c r="A1118" s="3174">
        <v>1116</v>
      </c>
      <c r="B1118" s="3175" t="s">
        <v>4557</v>
      </c>
      <c r="C1118" s="3176">
        <v>89.26</v>
      </c>
      <c r="D1118" s="3176">
        <v>28.1</v>
      </c>
      <c r="F1118" s="3177">
        <v>1116</v>
      </c>
      <c r="G1118" s="3175" t="s">
        <v>4548</v>
      </c>
      <c r="H1118" s="3178">
        <v>-2010</v>
      </c>
      <c r="I1118" s="3179">
        <v>11.14</v>
      </c>
      <c r="J1118" s="3179">
        <v>3.51</v>
      </c>
      <c r="L1118" s="3177">
        <v>1116</v>
      </c>
      <c r="M1118" s="3175">
        <v>-10330</v>
      </c>
      <c r="N1118" s="3175" t="s">
        <v>4187</v>
      </c>
      <c r="O1118" s="3176">
        <v>26.98</v>
      </c>
      <c r="P1118" s="3176">
        <v>8.49</v>
      </c>
    </row>
    <row r="1119" spans="1:16" ht="15" thickBot="1">
      <c r="A1119" s="3174">
        <v>1117</v>
      </c>
      <c r="B1119" s="3175" t="s">
        <v>4558</v>
      </c>
      <c r="C1119" s="3176">
        <v>112.6</v>
      </c>
      <c r="D1119" s="3176">
        <v>35.450000000000003</v>
      </c>
      <c r="F1119" s="3177">
        <v>1117</v>
      </c>
      <c r="G1119" s="3175" t="s">
        <v>4548</v>
      </c>
      <c r="H1119" s="3178">
        <v>-2011</v>
      </c>
      <c r="I1119" s="3179">
        <v>10.51</v>
      </c>
      <c r="J1119" s="3179">
        <v>3.31</v>
      </c>
      <c r="L1119" s="3177">
        <v>1117</v>
      </c>
      <c r="M1119" s="3175">
        <v>-10331</v>
      </c>
      <c r="N1119" s="3175" t="s">
        <v>4187</v>
      </c>
      <c r="O1119" s="3176">
        <v>26.98</v>
      </c>
      <c r="P1119" s="3176">
        <v>8.49</v>
      </c>
    </row>
    <row r="1120" spans="1:16" ht="15" thickBot="1">
      <c r="A1120" s="3174">
        <v>1118</v>
      </c>
      <c r="B1120" s="3175" t="s">
        <v>4559</v>
      </c>
      <c r="C1120" s="3176">
        <v>88.97</v>
      </c>
      <c r="D1120" s="3176">
        <v>28.01</v>
      </c>
      <c r="F1120" s="3177">
        <v>1118</v>
      </c>
      <c r="G1120" s="3175" t="s">
        <v>4548</v>
      </c>
      <c r="H1120" s="3178">
        <v>-2012</v>
      </c>
      <c r="I1120" s="3179">
        <v>10.51</v>
      </c>
      <c r="J1120" s="3179">
        <v>3.31</v>
      </c>
      <c r="L1120" s="3177">
        <v>1118</v>
      </c>
      <c r="M1120" s="3175">
        <v>-10332</v>
      </c>
      <c r="N1120" s="3175" t="s">
        <v>4187</v>
      </c>
      <c r="O1120" s="3176">
        <v>26.98</v>
      </c>
      <c r="P1120" s="3176">
        <v>8.49</v>
      </c>
    </row>
    <row r="1121" spans="1:16" ht="15" thickBot="1">
      <c r="A1121" s="3174">
        <v>1119</v>
      </c>
      <c r="B1121" s="3175" t="s">
        <v>4560</v>
      </c>
      <c r="C1121" s="3176">
        <v>88.97</v>
      </c>
      <c r="D1121" s="3176">
        <v>28.01</v>
      </c>
      <c r="F1121" s="3177">
        <v>1119</v>
      </c>
      <c r="G1121" s="3175" t="s">
        <v>4548</v>
      </c>
      <c r="H1121" s="3178">
        <v>-2013</v>
      </c>
      <c r="I1121" s="3179">
        <v>7.54</v>
      </c>
      <c r="J1121" s="3179">
        <v>2.37</v>
      </c>
      <c r="L1121" s="3177">
        <v>1119</v>
      </c>
      <c r="M1121" s="3175">
        <v>-10333</v>
      </c>
      <c r="N1121" s="3175" t="s">
        <v>4187</v>
      </c>
      <c r="O1121" s="3176">
        <v>26.98</v>
      </c>
      <c r="P1121" s="3176">
        <v>8.49</v>
      </c>
    </row>
    <row r="1122" spans="1:16" ht="15" thickBot="1">
      <c r="A1122" s="3174">
        <v>1120</v>
      </c>
      <c r="B1122" s="3175" t="s">
        <v>4561</v>
      </c>
      <c r="C1122" s="3176">
        <v>89.26</v>
      </c>
      <c r="D1122" s="3176">
        <v>28.1</v>
      </c>
      <c r="F1122" s="3177">
        <v>1120</v>
      </c>
      <c r="G1122" s="3175" t="s">
        <v>4548</v>
      </c>
      <c r="H1122" s="3178">
        <v>-2014</v>
      </c>
      <c r="I1122" s="3179">
        <v>7.54</v>
      </c>
      <c r="J1122" s="3179">
        <v>2.37</v>
      </c>
      <c r="L1122" s="3177">
        <v>1120</v>
      </c>
      <c r="M1122" s="3175">
        <v>-10334</v>
      </c>
      <c r="N1122" s="3175" t="s">
        <v>4187</v>
      </c>
      <c r="O1122" s="3176">
        <v>26.98</v>
      </c>
      <c r="P1122" s="3176">
        <v>8.49</v>
      </c>
    </row>
    <row r="1123" spans="1:16" ht="15" thickBot="1">
      <c r="A1123" s="3174">
        <v>1121</v>
      </c>
      <c r="B1123" s="3175" t="s">
        <v>4562</v>
      </c>
      <c r="C1123" s="3176">
        <v>112.6</v>
      </c>
      <c r="D1123" s="3176">
        <v>35.450000000000003</v>
      </c>
      <c r="F1123" s="3177">
        <v>1121</v>
      </c>
      <c r="G1123" s="3175" t="s">
        <v>4548</v>
      </c>
      <c r="H1123" s="3178">
        <v>-2015</v>
      </c>
      <c r="I1123" s="3179">
        <v>10.45</v>
      </c>
      <c r="J1123" s="3179">
        <v>3.29</v>
      </c>
      <c r="L1123" s="3177">
        <v>1121</v>
      </c>
      <c r="M1123" s="3175">
        <v>-10335</v>
      </c>
      <c r="N1123" s="3175" t="s">
        <v>4187</v>
      </c>
      <c r="O1123" s="3176">
        <v>26.98</v>
      </c>
      <c r="P1123" s="3176">
        <v>8.49</v>
      </c>
    </row>
    <row r="1124" spans="1:16" ht="15" thickBot="1">
      <c r="A1124" s="3174">
        <v>1122</v>
      </c>
      <c r="B1124" s="3175" t="s">
        <v>4563</v>
      </c>
      <c r="C1124" s="3176">
        <v>88.97</v>
      </c>
      <c r="D1124" s="3176">
        <v>28.01</v>
      </c>
      <c r="F1124" s="3177">
        <v>1122</v>
      </c>
      <c r="G1124" s="3175" t="s">
        <v>4548</v>
      </c>
      <c r="H1124" s="3178">
        <v>-2016</v>
      </c>
      <c r="I1124" s="3179">
        <v>10.45</v>
      </c>
      <c r="J1124" s="3179">
        <v>3.29</v>
      </c>
      <c r="L1124" s="3177">
        <v>1122</v>
      </c>
      <c r="M1124" s="3175">
        <v>-10336</v>
      </c>
      <c r="N1124" s="3175" t="s">
        <v>4187</v>
      </c>
      <c r="O1124" s="3176">
        <v>26.98</v>
      </c>
      <c r="P1124" s="3176">
        <v>8.49</v>
      </c>
    </row>
    <row r="1125" spans="1:16" ht="15" thickBot="1">
      <c r="A1125" s="3174">
        <v>1123</v>
      </c>
      <c r="B1125" s="3175" t="s">
        <v>4564</v>
      </c>
      <c r="C1125" s="3176">
        <v>88.97</v>
      </c>
      <c r="D1125" s="3176">
        <v>28.01</v>
      </c>
      <c r="F1125" s="3177">
        <v>1123</v>
      </c>
      <c r="G1125" s="3175" t="s">
        <v>4548</v>
      </c>
      <c r="H1125" s="3178">
        <v>-2017</v>
      </c>
      <c r="I1125" s="3179">
        <v>10.119999999999999</v>
      </c>
      <c r="J1125" s="3179">
        <v>3.19</v>
      </c>
      <c r="L1125" s="3177">
        <v>1123</v>
      </c>
      <c r="M1125" s="3175">
        <v>-10337</v>
      </c>
      <c r="N1125" s="3175" t="s">
        <v>4187</v>
      </c>
      <c r="O1125" s="3176">
        <v>26.98</v>
      </c>
      <c r="P1125" s="3176">
        <v>8.49</v>
      </c>
    </row>
    <row r="1126" spans="1:16" ht="15" thickBot="1">
      <c r="A1126" s="3174">
        <v>1124</v>
      </c>
      <c r="B1126" s="3175" t="s">
        <v>4565</v>
      </c>
      <c r="C1126" s="3176">
        <v>89.26</v>
      </c>
      <c r="D1126" s="3176">
        <v>28.1</v>
      </c>
      <c r="F1126" s="3177">
        <v>1124</v>
      </c>
      <c r="G1126" s="3175" t="s">
        <v>4548</v>
      </c>
      <c r="H1126" s="3178">
        <v>-2018</v>
      </c>
      <c r="I1126" s="3179">
        <v>10.119999999999999</v>
      </c>
      <c r="J1126" s="3179">
        <v>3.19</v>
      </c>
      <c r="L1126" s="3177">
        <v>1124</v>
      </c>
      <c r="M1126" s="3175">
        <v>-10338</v>
      </c>
      <c r="N1126" s="3175" t="s">
        <v>4187</v>
      </c>
      <c r="O1126" s="3176">
        <v>26.98</v>
      </c>
      <c r="P1126" s="3176">
        <v>8.49</v>
      </c>
    </row>
    <row r="1127" spans="1:16" ht="15" thickBot="1">
      <c r="A1127" s="3174">
        <v>1125</v>
      </c>
      <c r="B1127" s="3175" t="s">
        <v>4566</v>
      </c>
      <c r="C1127" s="3176">
        <v>112.6</v>
      </c>
      <c r="D1127" s="3176">
        <v>35.450000000000003</v>
      </c>
      <c r="F1127" s="3177">
        <v>1125</v>
      </c>
      <c r="G1127" s="3175" t="s">
        <v>4548</v>
      </c>
      <c r="H1127" s="3178">
        <v>-2019</v>
      </c>
      <c r="I1127" s="3179">
        <v>10.75</v>
      </c>
      <c r="J1127" s="3179">
        <v>3.38</v>
      </c>
      <c r="L1127" s="3177">
        <v>1125</v>
      </c>
      <c r="M1127" s="3175">
        <v>-10339</v>
      </c>
      <c r="N1127" s="3175" t="s">
        <v>4187</v>
      </c>
      <c r="O1127" s="3176">
        <v>26.98</v>
      </c>
      <c r="P1127" s="3176">
        <v>8.49</v>
      </c>
    </row>
    <row r="1128" spans="1:16" ht="15" thickBot="1">
      <c r="A1128" s="3174">
        <v>1126</v>
      </c>
      <c r="B1128" s="3175" t="s">
        <v>4567</v>
      </c>
      <c r="C1128" s="3176">
        <v>88.97</v>
      </c>
      <c r="D1128" s="3176">
        <v>28.01</v>
      </c>
      <c r="F1128" s="3177">
        <v>1126</v>
      </c>
      <c r="G1128" s="3175" t="s">
        <v>4548</v>
      </c>
      <c r="H1128" s="3178">
        <v>-2020</v>
      </c>
      <c r="I1128" s="3179">
        <v>9.61</v>
      </c>
      <c r="J1128" s="3179">
        <v>3.03</v>
      </c>
      <c r="L1128" s="3177">
        <v>1126</v>
      </c>
      <c r="M1128" s="3175">
        <v>-10340</v>
      </c>
      <c r="N1128" s="3175" t="s">
        <v>4187</v>
      </c>
      <c r="O1128" s="3176">
        <v>26.98</v>
      </c>
      <c r="P1128" s="3176">
        <v>8.49</v>
      </c>
    </row>
    <row r="1129" spans="1:16" ht="15" thickBot="1">
      <c r="A1129" s="3174">
        <v>1127</v>
      </c>
      <c r="B1129" s="3175" t="s">
        <v>4568</v>
      </c>
      <c r="C1129" s="3176">
        <v>88.97</v>
      </c>
      <c r="D1129" s="3176">
        <v>28.01</v>
      </c>
      <c r="F1129" s="3177">
        <v>1127</v>
      </c>
      <c r="G1129" s="3175" t="s">
        <v>4548</v>
      </c>
      <c r="H1129" s="3178">
        <v>-2021</v>
      </c>
      <c r="I1129" s="3179">
        <v>9.32</v>
      </c>
      <c r="J1129" s="3179">
        <v>2.93</v>
      </c>
      <c r="L1129" s="3177">
        <v>1127</v>
      </c>
      <c r="M1129" s="3175">
        <v>-10341</v>
      </c>
      <c r="N1129" s="3175" t="s">
        <v>4187</v>
      </c>
      <c r="O1129" s="3176">
        <v>26.98</v>
      </c>
      <c r="P1129" s="3176">
        <v>8.49</v>
      </c>
    </row>
    <row r="1130" spans="1:16" ht="15" thickBot="1">
      <c r="A1130" s="3174">
        <v>1128</v>
      </c>
      <c r="B1130" s="3175" t="s">
        <v>4569</v>
      </c>
      <c r="C1130" s="3176">
        <v>89.26</v>
      </c>
      <c r="D1130" s="3176">
        <v>28.1</v>
      </c>
      <c r="F1130" s="3177">
        <v>1128</v>
      </c>
      <c r="G1130" s="3175" t="s">
        <v>4548</v>
      </c>
      <c r="H1130" s="3178">
        <v>-2022</v>
      </c>
      <c r="I1130" s="3179">
        <v>9.32</v>
      </c>
      <c r="J1130" s="3179">
        <v>2.93</v>
      </c>
      <c r="L1130" s="3177">
        <v>1128</v>
      </c>
      <c r="M1130" s="3175">
        <v>-10342</v>
      </c>
      <c r="N1130" s="3175" t="s">
        <v>4187</v>
      </c>
      <c r="O1130" s="3176">
        <v>26.98</v>
      </c>
      <c r="P1130" s="3176">
        <v>8.49</v>
      </c>
    </row>
    <row r="1131" spans="1:16" ht="15" thickBot="1">
      <c r="A1131" s="3174">
        <v>1129</v>
      </c>
      <c r="B1131" s="3175" t="s">
        <v>4570</v>
      </c>
      <c r="C1131" s="3176">
        <v>112.6</v>
      </c>
      <c r="D1131" s="3176">
        <v>35.450000000000003</v>
      </c>
      <c r="F1131" s="3177">
        <v>1129</v>
      </c>
      <c r="G1131" s="3175" t="s">
        <v>4548</v>
      </c>
      <c r="H1131" s="3178">
        <v>-2023</v>
      </c>
      <c r="I1131" s="3179">
        <v>8.32</v>
      </c>
      <c r="J1131" s="3179">
        <v>2.62</v>
      </c>
      <c r="L1131" s="3177">
        <v>1129</v>
      </c>
      <c r="M1131" s="3175">
        <v>-10343</v>
      </c>
      <c r="N1131" s="3175" t="s">
        <v>4187</v>
      </c>
      <c r="O1131" s="3176">
        <v>26.98</v>
      </c>
      <c r="P1131" s="3176">
        <v>8.49</v>
      </c>
    </row>
    <row r="1132" spans="1:16" ht="15" thickBot="1">
      <c r="A1132" s="3174">
        <v>1130</v>
      </c>
      <c r="B1132" s="3175" t="s">
        <v>4571</v>
      </c>
      <c r="C1132" s="3176">
        <v>88.97</v>
      </c>
      <c r="D1132" s="3176">
        <v>28.01</v>
      </c>
      <c r="F1132" s="3177">
        <v>1130</v>
      </c>
      <c r="G1132" s="3175" t="s">
        <v>4548</v>
      </c>
      <c r="H1132" s="3178">
        <v>-2024</v>
      </c>
      <c r="I1132" s="3179">
        <v>8.48</v>
      </c>
      <c r="J1132" s="3179">
        <v>2.67</v>
      </c>
      <c r="L1132" s="3177">
        <v>1130</v>
      </c>
      <c r="M1132" s="3175">
        <v>-10344</v>
      </c>
      <c r="N1132" s="3175" t="s">
        <v>4187</v>
      </c>
      <c r="O1132" s="3176">
        <v>26.98</v>
      </c>
      <c r="P1132" s="3176">
        <v>8.49</v>
      </c>
    </row>
    <row r="1133" spans="1:16" ht="15" thickBot="1">
      <c r="A1133" s="3174">
        <v>1131</v>
      </c>
      <c r="B1133" s="3175" t="s">
        <v>4572</v>
      </c>
      <c r="C1133" s="3176">
        <v>88.97</v>
      </c>
      <c r="D1133" s="3176">
        <v>28.01</v>
      </c>
      <c r="F1133" s="3177">
        <v>1131</v>
      </c>
      <c r="G1133" s="3175" t="s">
        <v>4548</v>
      </c>
      <c r="H1133" s="3178">
        <v>-2025</v>
      </c>
      <c r="I1133" s="3179">
        <v>6.2</v>
      </c>
      <c r="J1133" s="3179">
        <v>1.95</v>
      </c>
      <c r="L1133" s="3177">
        <v>1131</v>
      </c>
      <c r="M1133" s="3175">
        <v>-10345</v>
      </c>
      <c r="N1133" s="3175" t="s">
        <v>4187</v>
      </c>
      <c r="O1133" s="3176">
        <v>26.98</v>
      </c>
      <c r="P1133" s="3176">
        <v>8.49</v>
      </c>
    </row>
    <row r="1134" spans="1:16" ht="15" thickBot="1">
      <c r="A1134" s="3174">
        <v>1132</v>
      </c>
      <c r="B1134" s="3175" t="s">
        <v>4573</v>
      </c>
      <c r="C1134" s="3176">
        <v>89.26</v>
      </c>
      <c r="D1134" s="3176">
        <v>28.1</v>
      </c>
      <c r="F1134" s="3177">
        <v>1132</v>
      </c>
      <c r="G1134" s="3175" t="s">
        <v>4548</v>
      </c>
      <c r="H1134" s="3178">
        <v>-2026</v>
      </c>
      <c r="I1134" s="3179">
        <v>11.07</v>
      </c>
      <c r="J1134" s="3179">
        <v>3.49</v>
      </c>
      <c r="L1134" s="3177">
        <v>1132</v>
      </c>
      <c r="M1134" s="3175">
        <v>-10346</v>
      </c>
      <c r="N1134" s="3175" t="s">
        <v>4187</v>
      </c>
      <c r="O1134" s="3176">
        <v>26.98</v>
      </c>
      <c r="P1134" s="3176">
        <v>8.49</v>
      </c>
    </row>
    <row r="1135" spans="1:16" ht="15" thickBot="1">
      <c r="A1135" s="3174">
        <v>1133</v>
      </c>
      <c r="B1135" s="3175" t="s">
        <v>4574</v>
      </c>
      <c r="C1135" s="3176">
        <v>112.6</v>
      </c>
      <c r="D1135" s="3176">
        <v>35.450000000000003</v>
      </c>
      <c r="F1135" s="3177">
        <v>1133</v>
      </c>
      <c r="G1135" s="3175" t="s">
        <v>4548</v>
      </c>
      <c r="H1135" s="3178">
        <v>-2027</v>
      </c>
      <c r="I1135" s="3179">
        <v>10.45</v>
      </c>
      <c r="J1135" s="3179">
        <v>3.29</v>
      </c>
      <c r="L1135" s="3177">
        <v>1133</v>
      </c>
      <c r="M1135" s="3175">
        <v>-10347</v>
      </c>
      <c r="N1135" s="3175" t="s">
        <v>4187</v>
      </c>
      <c r="O1135" s="3176">
        <v>26.98</v>
      </c>
      <c r="P1135" s="3176">
        <v>8.49</v>
      </c>
    </row>
    <row r="1136" spans="1:16" ht="15" thickBot="1">
      <c r="A1136" s="3174">
        <v>1134</v>
      </c>
      <c r="B1136" s="3175" t="s">
        <v>4575</v>
      </c>
      <c r="C1136" s="3176">
        <v>88.97</v>
      </c>
      <c r="D1136" s="3176">
        <v>28.01</v>
      </c>
      <c r="F1136" s="3177">
        <v>1134</v>
      </c>
      <c r="G1136" s="3175" t="s">
        <v>4548</v>
      </c>
      <c r="H1136" s="3178">
        <v>-2028</v>
      </c>
      <c r="I1136" s="3179">
        <v>10.45</v>
      </c>
      <c r="J1136" s="3179">
        <v>3.29</v>
      </c>
      <c r="L1136" s="3177">
        <v>1134</v>
      </c>
      <c r="M1136" s="3175">
        <v>-10348</v>
      </c>
      <c r="N1136" s="3175" t="s">
        <v>4187</v>
      </c>
      <c r="O1136" s="3176">
        <v>26.98</v>
      </c>
      <c r="P1136" s="3176">
        <v>8.49</v>
      </c>
    </row>
    <row r="1137" spans="1:16" ht="15" thickBot="1">
      <c r="A1137" s="3174">
        <v>1135</v>
      </c>
      <c r="B1137" s="3175" t="s">
        <v>4576</v>
      </c>
      <c r="C1137" s="3176">
        <v>88.97</v>
      </c>
      <c r="D1137" s="3176">
        <v>28.01</v>
      </c>
      <c r="F1137" s="3177">
        <v>1135</v>
      </c>
      <c r="G1137" s="3175" t="s">
        <v>4548</v>
      </c>
      <c r="H1137" s="3178">
        <v>-2029</v>
      </c>
      <c r="I1137" s="3179">
        <v>11.07</v>
      </c>
      <c r="J1137" s="3179">
        <v>3.49</v>
      </c>
      <c r="L1137" s="3177">
        <v>1135</v>
      </c>
      <c r="M1137" s="3175">
        <v>-10349</v>
      </c>
      <c r="N1137" s="3175" t="s">
        <v>4187</v>
      </c>
      <c r="O1137" s="3176">
        <v>26.98</v>
      </c>
      <c r="P1137" s="3176">
        <v>8.49</v>
      </c>
    </row>
    <row r="1138" spans="1:16" ht="15" thickBot="1">
      <c r="A1138" s="3174">
        <v>1136</v>
      </c>
      <c r="B1138" s="3175" t="s">
        <v>4577</v>
      </c>
      <c r="C1138" s="3176">
        <v>89.26</v>
      </c>
      <c r="D1138" s="3176">
        <v>28.1</v>
      </c>
      <c r="F1138" s="3177">
        <v>1136</v>
      </c>
      <c r="G1138" s="3175" t="s">
        <v>4548</v>
      </c>
      <c r="H1138" s="3178">
        <v>-2030</v>
      </c>
      <c r="I1138" s="3179">
        <v>10.75</v>
      </c>
      <c r="J1138" s="3179">
        <v>3.38</v>
      </c>
      <c r="L1138" s="3177">
        <v>1136</v>
      </c>
      <c r="M1138" s="3175">
        <v>-10350</v>
      </c>
      <c r="N1138" s="3175" t="s">
        <v>4187</v>
      </c>
      <c r="O1138" s="3176">
        <v>26.98</v>
      </c>
      <c r="P1138" s="3176">
        <v>8.49</v>
      </c>
    </row>
    <row r="1139" spans="1:16" ht="15" thickBot="1">
      <c r="A1139" s="3174">
        <v>1137</v>
      </c>
      <c r="B1139" s="3175" t="s">
        <v>4578</v>
      </c>
      <c r="C1139" s="3176">
        <v>112.6</v>
      </c>
      <c r="D1139" s="3176">
        <v>35.450000000000003</v>
      </c>
      <c r="F1139" s="3177">
        <v>1137</v>
      </c>
      <c r="G1139" s="3175" t="s">
        <v>4548</v>
      </c>
      <c r="H1139" s="3178">
        <v>-2031</v>
      </c>
      <c r="I1139" s="3179">
        <v>9.17</v>
      </c>
      <c r="J1139" s="3179">
        <v>2.89</v>
      </c>
      <c r="L1139" s="3177">
        <v>1137</v>
      </c>
      <c r="M1139" s="3175">
        <v>-10351</v>
      </c>
      <c r="N1139" s="3175" t="s">
        <v>4187</v>
      </c>
      <c r="O1139" s="3176">
        <v>26.98</v>
      </c>
      <c r="P1139" s="3176">
        <v>8.49</v>
      </c>
    </row>
    <row r="1140" spans="1:16" ht="15" thickBot="1">
      <c r="A1140" s="3174">
        <v>1138</v>
      </c>
      <c r="B1140" s="3175" t="s">
        <v>4579</v>
      </c>
      <c r="C1140" s="3176">
        <v>88.97</v>
      </c>
      <c r="D1140" s="3176">
        <v>28.01</v>
      </c>
      <c r="F1140" s="3177">
        <v>1138</v>
      </c>
      <c r="G1140" s="3175" t="s">
        <v>4548</v>
      </c>
      <c r="H1140" s="3178">
        <v>-2032</v>
      </c>
      <c r="I1140" s="3179">
        <v>8.83</v>
      </c>
      <c r="J1140" s="3179">
        <v>2.78</v>
      </c>
      <c r="L1140" s="3177">
        <v>1138</v>
      </c>
      <c r="M1140" s="3175">
        <v>-10352</v>
      </c>
      <c r="N1140" s="3175" t="s">
        <v>4187</v>
      </c>
      <c r="O1140" s="3176">
        <v>26.98</v>
      </c>
      <c r="P1140" s="3176">
        <v>8.49</v>
      </c>
    </row>
    <row r="1141" spans="1:16" ht="15" thickBot="1">
      <c r="A1141" s="3174">
        <v>1139</v>
      </c>
      <c r="B1141" s="3175" t="s">
        <v>4580</v>
      </c>
      <c r="C1141" s="3176">
        <v>88.97</v>
      </c>
      <c r="D1141" s="3176">
        <v>28.01</v>
      </c>
      <c r="F1141" s="3177">
        <v>1139</v>
      </c>
      <c r="G1141" s="3175" t="s">
        <v>4548</v>
      </c>
      <c r="H1141" s="3178">
        <v>-2033</v>
      </c>
      <c r="I1141" s="3179">
        <v>8.9700000000000006</v>
      </c>
      <c r="J1141" s="3179">
        <v>2.82</v>
      </c>
      <c r="L1141" s="3177">
        <v>1139</v>
      </c>
      <c r="M1141" s="3175">
        <v>-10353</v>
      </c>
      <c r="N1141" s="3175" t="s">
        <v>4187</v>
      </c>
      <c r="O1141" s="3176">
        <v>26.98</v>
      </c>
      <c r="P1141" s="3176">
        <v>8.49</v>
      </c>
    </row>
    <row r="1142" spans="1:16" ht="15" thickBot="1">
      <c r="A1142" s="3174">
        <v>1140</v>
      </c>
      <c r="B1142" s="3175" t="s">
        <v>4581</v>
      </c>
      <c r="C1142" s="3176">
        <v>89.26</v>
      </c>
      <c r="D1142" s="3176">
        <v>28.1</v>
      </c>
      <c r="F1142" s="3177">
        <v>1140</v>
      </c>
      <c r="G1142" s="3175" t="s">
        <v>4548</v>
      </c>
      <c r="H1142" s="3178">
        <v>-2034</v>
      </c>
      <c r="I1142" s="3179">
        <v>9.75</v>
      </c>
      <c r="J1142" s="3179">
        <v>3.07</v>
      </c>
      <c r="L1142" s="3177">
        <v>1140</v>
      </c>
      <c r="M1142" s="3175">
        <v>-10354</v>
      </c>
      <c r="N1142" s="3175" t="s">
        <v>4187</v>
      </c>
      <c r="O1142" s="3176">
        <v>26.98</v>
      </c>
      <c r="P1142" s="3176">
        <v>8.49</v>
      </c>
    </row>
    <row r="1143" spans="1:16" ht="15" thickBot="1">
      <c r="A1143" s="3174">
        <v>1141</v>
      </c>
      <c r="B1143" s="3175" t="s">
        <v>4582</v>
      </c>
      <c r="C1143" s="3176">
        <v>89.35</v>
      </c>
      <c r="D1143" s="3176">
        <v>28.13</v>
      </c>
      <c r="F1143" s="3177">
        <v>1141</v>
      </c>
      <c r="G1143" s="3175" t="s">
        <v>4548</v>
      </c>
      <c r="H1143" s="3178">
        <v>-2035</v>
      </c>
      <c r="I1143" s="3179">
        <v>9.6</v>
      </c>
      <c r="J1143" s="3179">
        <v>3.02</v>
      </c>
      <c r="L1143" s="3177">
        <v>1141</v>
      </c>
      <c r="M1143" s="3175">
        <v>-10355</v>
      </c>
      <c r="N1143" s="3175" t="s">
        <v>4187</v>
      </c>
      <c r="O1143" s="3176">
        <v>26.98</v>
      </c>
      <c r="P1143" s="3176">
        <v>8.49</v>
      </c>
    </row>
    <row r="1144" spans="1:16" ht="15" thickBot="1">
      <c r="A1144" s="3174">
        <v>1142</v>
      </c>
      <c r="B1144" s="3175" t="s">
        <v>4583</v>
      </c>
      <c r="C1144" s="3176">
        <v>89.07</v>
      </c>
      <c r="D1144" s="3176">
        <v>28.04</v>
      </c>
      <c r="F1144" s="3177">
        <v>1142</v>
      </c>
      <c r="G1144" s="3175" t="s">
        <v>4548</v>
      </c>
      <c r="H1144" s="3178">
        <v>-2036</v>
      </c>
      <c r="I1144" s="3179">
        <v>10.99</v>
      </c>
      <c r="J1144" s="3179">
        <v>3.46</v>
      </c>
      <c r="L1144" s="3177">
        <v>1142</v>
      </c>
      <c r="M1144" s="3175">
        <v>-10356</v>
      </c>
      <c r="N1144" s="3175" t="s">
        <v>4187</v>
      </c>
      <c r="O1144" s="3176">
        <v>26.98</v>
      </c>
      <c r="P1144" s="3176">
        <v>8.49</v>
      </c>
    </row>
    <row r="1145" spans="1:16" ht="15" thickBot="1">
      <c r="A1145" s="3174">
        <v>1143</v>
      </c>
      <c r="B1145" s="3175" t="s">
        <v>4584</v>
      </c>
      <c r="C1145" s="3176">
        <v>89.07</v>
      </c>
      <c r="D1145" s="3176">
        <v>28.04</v>
      </c>
      <c r="F1145" s="3177">
        <v>1143</v>
      </c>
      <c r="G1145" s="3175" t="s">
        <v>4548</v>
      </c>
      <c r="H1145" s="3178">
        <v>-2037</v>
      </c>
      <c r="I1145" s="3179">
        <v>14.79</v>
      </c>
      <c r="J1145" s="3179">
        <v>4.66</v>
      </c>
      <c r="L1145" s="3177">
        <v>1143</v>
      </c>
      <c r="M1145" s="3175">
        <v>-10357</v>
      </c>
      <c r="N1145" s="3175" t="s">
        <v>4187</v>
      </c>
      <c r="O1145" s="3176">
        <v>26.98</v>
      </c>
      <c r="P1145" s="3176">
        <v>8.49</v>
      </c>
    </row>
    <row r="1146" spans="1:16" ht="15" thickBot="1">
      <c r="A1146" s="3174">
        <v>1144</v>
      </c>
      <c r="B1146" s="3175" t="s">
        <v>4585</v>
      </c>
      <c r="C1146" s="3176">
        <v>112.57</v>
      </c>
      <c r="D1146" s="3176">
        <v>35.44</v>
      </c>
      <c r="F1146" s="3177">
        <v>1144</v>
      </c>
      <c r="G1146" s="3175" t="s">
        <v>4548</v>
      </c>
      <c r="H1146" s="3178">
        <v>-2038</v>
      </c>
      <c r="I1146" s="3179">
        <v>6.88</v>
      </c>
      <c r="J1146" s="3179">
        <v>2.17</v>
      </c>
      <c r="L1146" s="3177">
        <v>1144</v>
      </c>
      <c r="M1146" s="3175">
        <v>-10358</v>
      </c>
      <c r="N1146" s="3175" t="s">
        <v>4187</v>
      </c>
      <c r="O1146" s="3176">
        <v>26.98</v>
      </c>
      <c r="P1146" s="3176">
        <v>8.49</v>
      </c>
    </row>
    <row r="1147" spans="1:16" ht="15" thickBot="1">
      <c r="A1147" s="3174">
        <v>1145</v>
      </c>
      <c r="B1147" s="3175" t="s">
        <v>4586</v>
      </c>
      <c r="C1147" s="3176">
        <v>89.35</v>
      </c>
      <c r="D1147" s="3176">
        <v>28.13</v>
      </c>
      <c r="F1147" s="3177">
        <v>1145</v>
      </c>
      <c r="G1147" s="3175" t="s">
        <v>4548</v>
      </c>
      <c r="H1147" s="3178">
        <v>-2039</v>
      </c>
      <c r="I1147" s="3179">
        <v>6.69</v>
      </c>
      <c r="J1147" s="3179">
        <v>2.11</v>
      </c>
      <c r="L1147" s="3177">
        <v>1145</v>
      </c>
      <c r="M1147" s="3175">
        <v>-10359</v>
      </c>
      <c r="N1147" s="3175" t="s">
        <v>4187</v>
      </c>
      <c r="O1147" s="3176">
        <v>26.98</v>
      </c>
      <c r="P1147" s="3176">
        <v>8.49</v>
      </c>
    </row>
    <row r="1148" spans="1:16" ht="15" thickBot="1">
      <c r="A1148" s="3174">
        <v>1146</v>
      </c>
      <c r="B1148" s="3175" t="s">
        <v>4587</v>
      </c>
      <c r="C1148" s="3176">
        <v>89.07</v>
      </c>
      <c r="D1148" s="3176">
        <v>28.04</v>
      </c>
      <c r="F1148" s="3177">
        <v>1146</v>
      </c>
      <c r="G1148" s="3175" t="s">
        <v>4548</v>
      </c>
      <c r="H1148" s="3178">
        <v>-2040</v>
      </c>
      <c r="I1148" s="3179">
        <v>7.8</v>
      </c>
      <c r="J1148" s="3179">
        <v>2.46</v>
      </c>
      <c r="L1148" s="3177">
        <v>1146</v>
      </c>
      <c r="M1148" s="3175">
        <v>-10360</v>
      </c>
      <c r="N1148" s="3175" t="s">
        <v>4187</v>
      </c>
      <c r="O1148" s="3176">
        <v>26.98</v>
      </c>
      <c r="P1148" s="3176">
        <v>8.49</v>
      </c>
    </row>
    <row r="1149" spans="1:16" ht="15" thickBot="1">
      <c r="A1149" s="3174">
        <v>1147</v>
      </c>
      <c r="B1149" s="3175" t="s">
        <v>4588</v>
      </c>
      <c r="C1149" s="3176">
        <v>89.07</v>
      </c>
      <c r="D1149" s="3176">
        <v>28.04</v>
      </c>
      <c r="F1149" s="3177">
        <v>1147</v>
      </c>
      <c r="G1149" s="3175" t="s">
        <v>4548</v>
      </c>
      <c r="H1149" s="3178">
        <v>-2041</v>
      </c>
      <c r="I1149" s="3179">
        <v>8.25</v>
      </c>
      <c r="J1149" s="3179">
        <v>2.6</v>
      </c>
      <c r="L1149" s="3177">
        <v>1147</v>
      </c>
      <c r="M1149" s="3175">
        <v>-10361</v>
      </c>
      <c r="N1149" s="3175" t="s">
        <v>4187</v>
      </c>
      <c r="O1149" s="3176">
        <v>26.98</v>
      </c>
      <c r="P1149" s="3176">
        <v>8.49</v>
      </c>
    </row>
    <row r="1150" spans="1:16" ht="15" thickBot="1">
      <c r="A1150" s="3174">
        <v>1148</v>
      </c>
      <c r="B1150" s="3175" t="s">
        <v>4589</v>
      </c>
      <c r="C1150" s="3176">
        <v>112.57</v>
      </c>
      <c r="D1150" s="3176">
        <v>35.44</v>
      </c>
      <c r="F1150" s="3177">
        <v>1148</v>
      </c>
      <c r="G1150" s="3175" t="s">
        <v>4548</v>
      </c>
      <c r="H1150" s="3178">
        <v>-2042</v>
      </c>
      <c r="I1150" s="3179">
        <v>8.0299999999999994</v>
      </c>
      <c r="J1150" s="3179">
        <v>2.5299999999999998</v>
      </c>
      <c r="L1150" s="3177">
        <v>1148</v>
      </c>
      <c r="M1150" s="3175">
        <v>-10362</v>
      </c>
      <c r="N1150" s="3175" t="s">
        <v>4187</v>
      </c>
      <c r="O1150" s="3176">
        <v>26.98</v>
      </c>
      <c r="P1150" s="3176">
        <v>8.49</v>
      </c>
    </row>
    <row r="1151" spans="1:16" ht="15" thickBot="1">
      <c r="A1151" s="3174">
        <v>1149</v>
      </c>
      <c r="B1151" s="3175" t="s">
        <v>4590</v>
      </c>
      <c r="C1151" s="3176">
        <v>89.35</v>
      </c>
      <c r="D1151" s="3176">
        <v>28.13</v>
      </c>
      <c r="F1151" s="3177">
        <v>1149</v>
      </c>
      <c r="G1151" s="3175" t="s">
        <v>4548</v>
      </c>
      <c r="H1151" s="3178">
        <v>-2043</v>
      </c>
      <c r="I1151" s="3179">
        <v>10.73</v>
      </c>
      <c r="J1151" s="3179">
        <v>3.38</v>
      </c>
      <c r="L1151" s="3177">
        <v>1149</v>
      </c>
      <c r="M1151" s="3175">
        <v>-10363</v>
      </c>
      <c r="N1151" s="3175" t="s">
        <v>4187</v>
      </c>
      <c r="O1151" s="3176">
        <v>26.98</v>
      </c>
      <c r="P1151" s="3176">
        <v>8.49</v>
      </c>
    </row>
    <row r="1152" spans="1:16" ht="15" thickBot="1">
      <c r="A1152" s="3174">
        <v>1150</v>
      </c>
      <c r="B1152" s="3175" t="s">
        <v>4591</v>
      </c>
      <c r="C1152" s="3176">
        <v>89.07</v>
      </c>
      <c r="D1152" s="3176">
        <v>28.04</v>
      </c>
      <c r="F1152" s="3177">
        <v>1150</v>
      </c>
      <c r="G1152" s="3175" t="s">
        <v>4548</v>
      </c>
      <c r="H1152" s="3178">
        <v>-2044</v>
      </c>
      <c r="I1152" s="3179">
        <v>8.59</v>
      </c>
      <c r="J1152" s="3179">
        <v>2.7</v>
      </c>
      <c r="L1152" s="3177">
        <v>1150</v>
      </c>
      <c r="M1152" s="3175">
        <v>-10364</v>
      </c>
      <c r="N1152" s="3175" t="s">
        <v>4187</v>
      </c>
      <c r="O1152" s="3176">
        <v>26.98</v>
      </c>
      <c r="P1152" s="3176">
        <v>8.49</v>
      </c>
    </row>
    <row r="1153" spans="1:16" ht="15" thickBot="1">
      <c r="A1153" s="3174">
        <v>1151</v>
      </c>
      <c r="B1153" s="3175" t="s">
        <v>4592</v>
      </c>
      <c r="C1153" s="3176">
        <v>89.07</v>
      </c>
      <c r="D1153" s="3176">
        <v>28.04</v>
      </c>
      <c r="F1153" s="3177">
        <v>1151</v>
      </c>
      <c r="G1153" s="3175" t="s">
        <v>4548</v>
      </c>
      <c r="H1153" s="3178">
        <v>-2045</v>
      </c>
      <c r="I1153" s="3179">
        <v>8.85</v>
      </c>
      <c r="J1153" s="3179">
        <v>2.79</v>
      </c>
      <c r="L1153" s="3177">
        <v>1151</v>
      </c>
      <c r="M1153" s="3175">
        <v>-10365</v>
      </c>
      <c r="N1153" s="3175" t="s">
        <v>4187</v>
      </c>
      <c r="O1153" s="3176">
        <v>26.98</v>
      </c>
      <c r="P1153" s="3176">
        <v>8.49</v>
      </c>
    </row>
    <row r="1154" spans="1:16" ht="15" thickBot="1">
      <c r="A1154" s="3174">
        <v>1152</v>
      </c>
      <c r="B1154" s="3175" t="s">
        <v>4593</v>
      </c>
      <c r="C1154" s="3176">
        <v>112.57</v>
      </c>
      <c r="D1154" s="3176">
        <v>35.44</v>
      </c>
      <c r="F1154" s="3177">
        <v>1152</v>
      </c>
      <c r="G1154" s="3175" t="s">
        <v>4548</v>
      </c>
      <c r="H1154" s="3178">
        <v>-2046</v>
      </c>
      <c r="I1154" s="3179">
        <v>8.7100000000000009</v>
      </c>
      <c r="J1154" s="3179">
        <v>2.74</v>
      </c>
      <c r="L1154" s="3177">
        <v>1152</v>
      </c>
      <c r="M1154" s="3175">
        <v>-10366</v>
      </c>
      <c r="N1154" s="3175" t="s">
        <v>4187</v>
      </c>
      <c r="O1154" s="3176">
        <v>26.98</v>
      </c>
      <c r="P1154" s="3176">
        <v>8.49</v>
      </c>
    </row>
    <row r="1155" spans="1:16" ht="15" thickBot="1">
      <c r="A1155" s="3174">
        <v>1153</v>
      </c>
      <c r="B1155" s="3175" t="s">
        <v>4594</v>
      </c>
      <c r="C1155" s="3176">
        <v>89.35</v>
      </c>
      <c r="D1155" s="3176">
        <v>28.13</v>
      </c>
      <c r="F1155" s="3177">
        <v>1153</v>
      </c>
      <c r="G1155" s="3175" t="s">
        <v>4548</v>
      </c>
      <c r="H1155" s="3178">
        <v>-2047</v>
      </c>
      <c r="I1155" s="3179">
        <v>6.28</v>
      </c>
      <c r="J1155" s="3179">
        <v>1.98</v>
      </c>
      <c r="L1155" s="3177">
        <v>1153</v>
      </c>
      <c r="M1155" s="3175">
        <v>-10367</v>
      </c>
      <c r="N1155" s="3175" t="s">
        <v>4187</v>
      </c>
      <c r="O1155" s="3176">
        <v>26.98</v>
      </c>
      <c r="P1155" s="3176">
        <v>8.49</v>
      </c>
    </row>
    <row r="1156" spans="1:16" ht="15" thickBot="1">
      <c r="A1156" s="3174">
        <v>1154</v>
      </c>
      <c r="B1156" s="3175" t="s">
        <v>4595</v>
      </c>
      <c r="C1156" s="3176">
        <v>89.07</v>
      </c>
      <c r="D1156" s="3176">
        <v>28.04</v>
      </c>
      <c r="F1156" s="3177">
        <v>1154</v>
      </c>
      <c r="G1156" s="3175" t="s">
        <v>4548</v>
      </c>
      <c r="H1156" s="3178">
        <v>-2048</v>
      </c>
      <c r="I1156" s="3179">
        <v>6.61</v>
      </c>
      <c r="J1156" s="3179">
        <v>2.08</v>
      </c>
      <c r="L1156" s="3177">
        <v>1154</v>
      </c>
      <c r="M1156" s="3175">
        <v>-10368</v>
      </c>
      <c r="N1156" s="3175" t="s">
        <v>4187</v>
      </c>
      <c r="O1156" s="3176">
        <v>26.98</v>
      </c>
      <c r="P1156" s="3176">
        <v>8.49</v>
      </c>
    </row>
    <row r="1157" spans="1:16" ht="15" thickBot="1">
      <c r="A1157" s="3174">
        <v>1155</v>
      </c>
      <c r="B1157" s="3175" t="s">
        <v>4596</v>
      </c>
      <c r="C1157" s="3176">
        <v>89.07</v>
      </c>
      <c r="D1157" s="3176">
        <v>28.04</v>
      </c>
      <c r="F1157" s="3177">
        <v>1155</v>
      </c>
      <c r="G1157" s="3175" t="s">
        <v>4548</v>
      </c>
      <c r="H1157" s="3178">
        <v>-2049</v>
      </c>
      <c r="I1157" s="3179">
        <v>6.61</v>
      </c>
      <c r="J1157" s="3179">
        <v>2.08</v>
      </c>
      <c r="L1157" s="3177">
        <v>1155</v>
      </c>
      <c r="M1157" s="3175">
        <v>-10369</v>
      </c>
      <c r="N1157" s="3175" t="s">
        <v>4187</v>
      </c>
      <c r="O1157" s="3176">
        <v>26.98</v>
      </c>
      <c r="P1157" s="3176">
        <v>8.49</v>
      </c>
    </row>
    <row r="1158" spans="1:16" ht="15" thickBot="1">
      <c r="A1158" s="3174">
        <v>1156</v>
      </c>
      <c r="B1158" s="3175" t="s">
        <v>4597</v>
      </c>
      <c r="C1158" s="3176">
        <v>112.57</v>
      </c>
      <c r="D1158" s="3176">
        <v>35.44</v>
      </c>
      <c r="F1158" s="3177">
        <v>1156</v>
      </c>
      <c r="G1158" s="3175" t="s">
        <v>4548</v>
      </c>
      <c r="H1158" s="3178">
        <v>-2050</v>
      </c>
      <c r="I1158" s="3179">
        <v>6.61</v>
      </c>
      <c r="J1158" s="3179">
        <v>2.08</v>
      </c>
      <c r="L1158" s="3177">
        <v>1156</v>
      </c>
      <c r="M1158" s="3175">
        <v>-10370</v>
      </c>
      <c r="N1158" s="3175" t="s">
        <v>4187</v>
      </c>
      <c r="O1158" s="3176">
        <v>26.98</v>
      </c>
      <c r="P1158" s="3176">
        <v>8.49</v>
      </c>
    </row>
    <row r="1159" spans="1:16" ht="15" thickBot="1">
      <c r="A1159" s="3174">
        <v>1157</v>
      </c>
      <c r="B1159" s="3175" t="s">
        <v>4598</v>
      </c>
      <c r="C1159" s="3176">
        <v>89.35</v>
      </c>
      <c r="D1159" s="3176">
        <v>28.13</v>
      </c>
      <c r="F1159" s="3177">
        <v>1157</v>
      </c>
      <c r="G1159" s="3175" t="s">
        <v>4548</v>
      </c>
      <c r="H1159" s="3178">
        <v>-2051</v>
      </c>
      <c r="I1159" s="3179">
        <v>7.54</v>
      </c>
      <c r="J1159" s="3179">
        <v>2.37</v>
      </c>
      <c r="L1159" s="3177">
        <v>1157</v>
      </c>
      <c r="M1159" s="3175">
        <v>-10371</v>
      </c>
      <c r="N1159" s="3175" t="s">
        <v>4187</v>
      </c>
      <c r="O1159" s="3176">
        <v>26.98</v>
      </c>
      <c r="P1159" s="3176">
        <v>8.49</v>
      </c>
    </row>
    <row r="1160" spans="1:16" ht="15" thickBot="1">
      <c r="A1160" s="3174">
        <v>1158</v>
      </c>
      <c r="B1160" s="3175" t="s">
        <v>4599</v>
      </c>
      <c r="C1160" s="3176">
        <v>89.07</v>
      </c>
      <c r="D1160" s="3176">
        <v>28.04</v>
      </c>
      <c r="F1160" s="3177">
        <v>1158</v>
      </c>
      <c r="G1160" s="3175" t="s">
        <v>4548</v>
      </c>
      <c r="H1160" s="3178">
        <v>-2052</v>
      </c>
      <c r="I1160" s="3179">
        <v>7.24</v>
      </c>
      <c r="J1160" s="3179">
        <v>2.2799999999999998</v>
      </c>
      <c r="L1160" s="3177">
        <v>1158</v>
      </c>
      <c r="M1160" s="3175">
        <v>-10372</v>
      </c>
      <c r="N1160" s="3175" t="s">
        <v>4187</v>
      </c>
      <c r="O1160" s="3176">
        <v>26.98</v>
      </c>
      <c r="P1160" s="3176">
        <v>8.49</v>
      </c>
    </row>
    <row r="1161" spans="1:16" ht="15" thickBot="1">
      <c r="A1161" s="3174">
        <v>1159</v>
      </c>
      <c r="B1161" s="3175" t="s">
        <v>4600</v>
      </c>
      <c r="C1161" s="3176">
        <v>89.07</v>
      </c>
      <c r="D1161" s="3176">
        <v>28.04</v>
      </c>
      <c r="F1161" s="3177">
        <v>1159</v>
      </c>
      <c r="G1161" s="3175" t="s">
        <v>4548</v>
      </c>
      <c r="H1161" s="3178">
        <v>-2053</v>
      </c>
      <c r="I1161" s="3179">
        <v>7.24</v>
      </c>
      <c r="J1161" s="3179">
        <v>2.2799999999999998</v>
      </c>
      <c r="L1161" s="3177">
        <v>1159</v>
      </c>
      <c r="M1161" s="3175">
        <v>-10373</v>
      </c>
      <c r="N1161" s="3175" t="s">
        <v>4187</v>
      </c>
      <c r="O1161" s="3176">
        <v>26.98</v>
      </c>
      <c r="P1161" s="3176">
        <v>8.49</v>
      </c>
    </row>
    <row r="1162" spans="1:16" ht="15" thickBot="1">
      <c r="A1162" s="3174">
        <v>1160</v>
      </c>
      <c r="B1162" s="3175" t="s">
        <v>4601</v>
      </c>
      <c r="C1162" s="3176">
        <v>112.57</v>
      </c>
      <c r="D1162" s="3176">
        <v>35.44</v>
      </c>
      <c r="F1162" s="3177">
        <v>1160</v>
      </c>
      <c r="G1162" s="3175" t="s">
        <v>4548</v>
      </c>
      <c r="H1162" s="3178">
        <v>-2054</v>
      </c>
      <c r="I1162" s="3179">
        <v>7.46</v>
      </c>
      <c r="J1162" s="3179">
        <v>2.35</v>
      </c>
      <c r="L1162" s="3177">
        <v>1160</v>
      </c>
      <c r="M1162" s="3175">
        <v>-10374</v>
      </c>
      <c r="N1162" s="3175" t="s">
        <v>4187</v>
      </c>
      <c r="O1162" s="3176">
        <v>26.98</v>
      </c>
      <c r="P1162" s="3176">
        <v>8.49</v>
      </c>
    </row>
    <row r="1163" spans="1:16" ht="15" thickBot="1">
      <c r="A1163" s="3174">
        <v>1161</v>
      </c>
      <c r="B1163" s="3175" t="s">
        <v>4602</v>
      </c>
      <c r="C1163" s="3176">
        <v>89.35</v>
      </c>
      <c r="D1163" s="3176">
        <v>28.13</v>
      </c>
      <c r="F1163" s="3177">
        <v>1161</v>
      </c>
      <c r="G1163" s="3175" t="s">
        <v>4548</v>
      </c>
      <c r="H1163" s="3178">
        <v>-2055</v>
      </c>
      <c r="I1163" s="3179">
        <v>8.7100000000000009</v>
      </c>
      <c r="J1163" s="3179">
        <v>2.74</v>
      </c>
      <c r="L1163" s="3177">
        <v>1161</v>
      </c>
      <c r="M1163" s="3175">
        <v>-10375</v>
      </c>
      <c r="N1163" s="3175" t="s">
        <v>4187</v>
      </c>
      <c r="O1163" s="3176">
        <v>26.98</v>
      </c>
      <c r="P1163" s="3176">
        <v>8.49</v>
      </c>
    </row>
    <row r="1164" spans="1:16" ht="15" thickBot="1">
      <c r="A1164" s="3174">
        <v>1162</v>
      </c>
      <c r="B1164" s="3175" t="s">
        <v>4603</v>
      </c>
      <c r="C1164" s="3176">
        <v>89.07</v>
      </c>
      <c r="D1164" s="3176">
        <v>28.04</v>
      </c>
      <c r="F1164" s="3177">
        <v>1162</v>
      </c>
      <c r="G1164" s="3175" t="s">
        <v>4548</v>
      </c>
      <c r="H1164" s="3178">
        <v>-2056</v>
      </c>
      <c r="I1164" s="3179">
        <v>8.85</v>
      </c>
      <c r="J1164" s="3179">
        <v>2.79</v>
      </c>
      <c r="L1164" s="3177">
        <v>1162</v>
      </c>
      <c r="M1164" s="3175">
        <v>-10376</v>
      </c>
      <c r="N1164" s="3175" t="s">
        <v>4187</v>
      </c>
      <c r="O1164" s="3176">
        <v>26.98</v>
      </c>
      <c r="P1164" s="3176">
        <v>8.49</v>
      </c>
    </row>
    <row r="1165" spans="1:16" ht="15" thickBot="1">
      <c r="A1165" s="3174">
        <v>1163</v>
      </c>
      <c r="B1165" s="3175" t="s">
        <v>4604</v>
      </c>
      <c r="C1165" s="3176">
        <v>89.07</v>
      </c>
      <c r="D1165" s="3176">
        <v>28.04</v>
      </c>
      <c r="F1165" s="3177">
        <v>1163</v>
      </c>
      <c r="G1165" s="3175" t="s">
        <v>4548</v>
      </c>
      <c r="H1165" s="3178">
        <v>-2057</v>
      </c>
      <c r="I1165" s="3179">
        <v>8.59</v>
      </c>
      <c r="J1165" s="3179">
        <v>2.7</v>
      </c>
      <c r="L1165" s="3177">
        <v>1163</v>
      </c>
      <c r="M1165" s="3175">
        <v>-10377</v>
      </c>
      <c r="N1165" s="3175" t="s">
        <v>4187</v>
      </c>
      <c r="O1165" s="3176">
        <v>26.98</v>
      </c>
      <c r="P1165" s="3176">
        <v>8.49</v>
      </c>
    </row>
    <row r="1166" spans="1:16" ht="15" thickBot="1">
      <c r="A1166" s="3174">
        <v>1164</v>
      </c>
      <c r="B1166" s="3175" t="s">
        <v>4605</v>
      </c>
      <c r="C1166" s="3176">
        <v>112.57</v>
      </c>
      <c r="D1166" s="3176">
        <v>35.44</v>
      </c>
      <c r="F1166" s="3177">
        <v>1164</v>
      </c>
      <c r="G1166" s="3175" t="s">
        <v>4548</v>
      </c>
      <c r="H1166" s="3178">
        <v>-2058</v>
      </c>
      <c r="I1166" s="3179">
        <v>8.17</v>
      </c>
      <c r="J1166" s="3179">
        <v>2.57</v>
      </c>
      <c r="L1166" s="3177">
        <v>1164</v>
      </c>
      <c r="M1166" s="3175">
        <v>-10378</v>
      </c>
      <c r="N1166" s="3175" t="s">
        <v>4187</v>
      </c>
      <c r="O1166" s="3176">
        <v>26.98</v>
      </c>
      <c r="P1166" s="3176">
        <v>8.49</v>
      </c>
    </row>
    <row r="1167" spans="1:16" ht="15" thickBot="1">
      <c r="A1167" s="3174">
        <v>1165</v>
      </c>
      <c r="B1167" s="3175" t="s">
        <v>4606</v>
      </c>
      <c r="C1167" s="3176">
        <v>89.35</v>
      </c>
      <c r="D1167" s="3176">
        <v>28.13</v>
      </c>
      <c r="F1167" s="3177">
        <v>1165</v>
      </c>
      <c r="G1167" s="3175" t="s">
        <v>4548</v>
      </c>
      <c r="H1167" s="3178">
        <v>-2059</v>
      </c>
      <c r="I1167" s="3179">
        <v>8.41</v>
      </c>
      <c r="J1167" s="3179">
        <v>2.65</v>
      </c>
      <c r="L1167" s="3177">
        <v>1165</v>
      </c>
      <c r="M1167" s="3175">
        <v>-10379</v>
      </c>
      <c r="N1167" s="3175" t="s">
        <v>4187</v>
      </c>
      <c r="O1167" s="3176">
        <v>26.98</v>
      </c>
      <c r="P1167" s="3176">
        <v>8.49</v>
      </c>
    </row>
    <row r="1168" spans="1:16" ht="15" thickBot="1">
      <c r="A1168" s="3174">
        <v>1166</v>
      </c>
      <c r="B1168" s="3175" t="s">
        <v>4607</v>
      </c>
      <c r="C1168" s="3176">
        <v>89.07</v>
      </c>
      <c r="D1168" s="3176">
        <v>28.04</v>
      </c>
      <c r="F1168" s="3177">
        <v>1166</v>
      </c>
      <c r="G1168" s="3175" t="s">
        <v>4548</v>
      </c>
      <c r="H1168" s="3178">
        <v>-2060</v>
      </c>
      <c r="I1168" s="3179">
        <v>7.95</v>
      </c>
      <c r="J1168" s="3179">
        <v>2.5</v>
      </c>
      <c r="L1168" s="3177">
        <v>1166</v>
      </c>
      <c r="M1168" s="3175">
        <v>-10380</v>
      </c>
      <c r="N1168" s="3175" t="s">
        <v>4187</v>
      </c>
      <c r="O1168" s="3176">
        <v>26.98</v>
      </c>
      <c r="P1168" s="3176">
        <v>8.49</v>
      </c>
    </row>
    <row r="1169" spans="1:16" ht="15" thickBot="1">
      <c r="A1169" s="3174">
        <v>1167</v>
      </c>
      <c r="B1169" s="3175" t="s">
        <v>4608</v>
      </c>
      <c r="C1169" s="3176">
        <v>89.07</v>
      </c>
      <c r="D1169" s="3176">
        <v>28.04</v>
      </c>
      <c r="F1169" s="3177">
        <v>1167</v>
      </c>
      <c r="G1169" s="3175" t="s">
        <v>4548</v>
      </c>
      <c r="H1169" s="3178">
        <v>-2061</v>
      </c>
      <c r="I1169" s="3179">
        <v>11.7</v>
      </c>
      <c r="J1169" s="3179">
        <v>3.68</v>
      </c>
      <c r="L1169" s="3177">
        <v>1167</v>
      </c>
      <c r="M1169" s="3175">
        <v>-10381</v>
      </c>
      <c r="N1169" s="3175" t="s">
        <v>4187</v>
      </c>
      <c r="O1169" s="3176">
        <v>26.98</v>
      </c>
      <c r="P1169" s="3176">
        <v>8.49</v>
      </c>
    </row>
    <row r="1170" spans="1:16" ht="15" thickBot="1">
      <c r="A1170" s="3174">
        <v>1168</v>
      </c>
      <c r="B1170" s="3175" t="s">
        <v>4609</v>
      </c>
      <c r="C1170" s="3176">
        <v>112.57</v>
      </c>
      <c r="D1170" s="3176">
        <v>35.44</v>
      </c>
      <c r="F1170" s="3177">
        <v>1168</v>
      </c>
      <c r="G1170" s="3175" t="s">
        <v>4548</v>
      </c>
      <c r="H1170" s="3178">
        <v>-2062</v>
      </c>
      <c r="I1170" s="3179">
        <v>11.7</v>
      </c>
      <c r="J1170" s="3179">
        <v>3.68</v>
      </c>
      <c r="L1170" s="3177">
        <v>1168</v>
      </c>
      <c r="M1170" s="3175">
        <v>-10382</v>
      </c>
      <c r="N1170" s="3175" t="s">
        <v>4187</v>
      </c>
      <c r="O1170" s="3176">
        <v>26.98</v>
      </c>
      <c r="P1170" s="3176">
        <v>8.49</v>
      </c>
    </row>
    <row r="1171" spans="1:16" ht="15" thickBot="1">
      <c r="A1171" s="3174">
        <v>1169</v>
      </c>
      <c r="B1171" s="3175" t="s">
        <v>4610</v>
      </c>
      <c r="C1171" s="3176">
        <v>89.35</v>
      </c>
      <c r="D1171" s="3176">
        <v>28.13</v>
      </c>
      <c r="F1171" s="3177">
        <v>1169</v>
      </c>
      <c r="G1171" s="3175" t="s">
        <v>4548</v>
      </c>
      <c r="H1171" s="3178">
        <v>-2063</v>
      </c>
      <c r="I1171" s="3179">
        <v>11.7</v>
      </c>
      <c r="J1171" s="3179">
        <v>3.68</v>
      </c>
      <c r="L1171" s="3177">
        <v>1169</v>
      </c>
      <c r="M1171" s="3175">
        <v>-10383</v>
      </c>
      <c r="N1171" s="3175" t="s">
        <v>4187</v>
      </c>
      <c r="O1171" s="3176">
        <v>26.98</v>
      </c>
      <c r="P1171" s="3176">
        <v>8.49</v>
      </c>
    </row>
    <row r="1172" spans="1:16" ht="15" thickBot="1">
      <c r="A1172" s="3174">
        <v>1170</v>
      </c>
      <c r="B1172" s="3175" t="s">
        <v>4611</v>
      </c>
      <c r="C1172" s="3176">
        <v>89.07</v>
      </c>
      <c r="D1172" s="3176">
        <v>28.04</v>
      </c>
      <c r="F1172" s="3177">
        <v>1170</v>
      </c>
      <c r="G1172" s="3175" t="s">
        <v>4548</v>
      </c>
      <c r="H1172" s="3178">
        <v>-2064</v>
      </c>
      <c r="I1172" s="3179">
        <v>11.52</v>
      </c>
      <c r="J1172" s="3179">
        <v>3.63</v>
      </c>
      <c r="L1172" s="3177">
        <v>1170</v>
      </c>
      <c r="M1172" s="3175">
        <v>-10384</v>
      </c>
      <c r="N1172" s="3175" t="s">
        <v>4187</v>
      </c>
      <c r="O1172" s="3176">
        <v>26.98</v>
      </c>
      <c r="P1172" s="3176">
        <v>8.49</v>
      </c>
    </row>
    <row r="1173" spans="1:16" ht="15" thickBot="1">
      <c r="A1173" s="3174">
        <v>1171</v>
      </c>
      <c r="B1173" s="3175" t="s">
        <v>4612</v>
      </c>
      <c r="C1173" s="3176">
        <v>89.07</v>
      </c>
      <c r="D1173" s="3176">
        <v>28.04</v>
      </c>
      <c r="F1173" s="3177">
        <v>1171</v>
      </c>
      <c r="G1173" s="3175" t="s">
        <v>4548</v>
      </c>
      <c r="H1173" s="3178">
        <v>-2065</v>
      </c>
      <c r="I1173" s="3179">
        <v>11.36</v>
      </c>
      <c r="J1173" s="3179">
        <v>3.58</v>
      </c>
      <c r="L1173" s="3177">
        <v>1171</v>
      </c>
      <c r="M1173" s="3175">
        <v>-10385</v>
      </c>
      <c r="N1173" s="3175" t="s">
        <v>4187</v>
      </c>
      <c r="O1173" s="3176">
        <v>26.98</v>
      </c>
      <c r="P1173" s="3176">
        <v>8.49</v>
      </c>
    </row>
    <row r="1174" spans="1:16" ht="15" thickBot="1">
      <c r="A1174" s="3174">
        <v>1172</v>
      </c>
      <c r="B1174" s="3175" t="s">
        <v>4613</v>
      </c>
      <c r="C1174" s="3176">
        <v>112.57</v>
      </c>
      <c r="D1174" s="3176">
        <v>35.44</v>
      </c>
      <c r="F1174" s="3177">
        <v>1172</v>
      </c>
      <c r="G1174" s="3175" t="s">
        <v>4548</v>
      </c>
      <c r="H1174" s="3178">
        <v>-2066</v>
      </c>
      <c r="I1174" s="3179">
        <v>5.01</v>
      </c>
      <c r="J1174" s="3179">
        <v>1.58</v>
      </c>
      <c r="L1174" s="3177">
        <v>1172</v>
      </c>
      <c r="M1174" s="3175">
        <v>-10386</v>
      </c>
      <c r="N1174" s="3175" t="s">
        <v>4187</v>
      </c>
      <c r="O1174" s="3176">
        <v>26.98</v>
      </c>
      <c r="P1174" s="3176">
        <v>8.49</v>
      </c>
    </row>
    <row r="1175" spans="1:16" ht="15" thickBot="1">
      <c r="A1175" s="3174">
        <v>1173</v>
      </c>
      <c r="B1175" s="3175" t="s">
        <v>4614</v>
      </c>
      <c r="C1175" s="3176">
        <v>89.35</v>
      </c>
      <c r="D1175" s="3176">
        <v>28.13</v>
      </c>
      <c r="F1175" s="3177">
        <v>1173</v>
      </c>
      <c r="G1175" s="3175" t="s">
        <v>4548</v>
      </c>
      <c r="H1175" s="3178">
        <v>-2067</v>
      </c>
      <c r="I1175" s="3179">
        <v>5.81</v>
      </c>
      <c r="J1175" s="3179">
        <v>1.83</v>
      </c>
      <c r="L1175" s="3177">
        <v>1173</v>
      </c>
      <c r="M1175" s="3175">
        <v>-10387</v>
      </c>
      <c r="N1175" s="3175" t="s">
        <v>4187</v>
      </c>
      <c r="O1175" s="3176">
        <v>26.98</v>
      </c>
      <c r="P1175" s="3176">
        <v>8.49</v>
      </c>
    </row>
    <row r="1176" spans="1:16" ht="15" thickBot="1">
      <c r="A1176" s="3174">
        <v>1174</v>
      </c>
      <c r="B1176" s="3175" t="s">
        <v>4615</v>
      </c>
      <c r="C1176" s="3176">
        <v>89.07</v>
      </c>
      <c r="D1176" s="3176">
        <v>28.04</v>
      </c>
      <c r="F1176" s="3177">
        <v>1174</v>
      </c>
      <c r="G1176" s="3175" t="s">
        <v>4548</v>
      </c>
      <c r="H1176" s="3178">
        <v>-2068</v>
      </c>
      <c r="I1176" s="3179">
        <v>5.49</v>
      </c>
      <c r="J1176" s="3179">
        <v>1.73</v>
      </c>
      <c r="L1176" s="3177">
        <v>1174</v>
      </c>
      <c r="M1176" s="3175">
        <v>-10388</v>
      </c>
      <c r="N1176" s="3175" t="s">
        <v>4187</v>
      </c>
      <c r="O1176" s="3176">
        <v>26.98</v>
      </c>
      <c r="P1176" s="3176">
        <v>8.49</v>
      </c>
    </row>
    <row r="1177" spans="1:16" ht="15" thickBot="1">
      <c r="A1177" s="3174">
        <v>1175</v>
      </c>
      <c r="B1177" s="3175" t="s">
        <v>4616</v>
      </c>
      <c r="C1177" s="3176">
        <v>89.07</v>
      </c>
      <c r="D1177" s="3176">
        <v>28.04</v>
      </c>
      <c r="F1177" s="3177">
        <v>1175</v>
      </c>
      <c r="G1177" s="3175" t="s">
        <v>4548</v>
      </c>
      <c r="H1177" s="3178">
        <v>-2069</v>
      </c>
      <c r="I1177" s="3179">
        <v>7.8</v>
      </c>
      <c r="J1177" s="3179">
        <v>2.46</v>
      </c>
      <c r="L1177" s="3177">
        <v>1175</v>
      </c>
      <c r="M1177" s="3175">
        <v>-10389</v>
      </c>
      <c r="N1177" s="3175" t="s">
        <v>4187</v>
      </c>
      <c r="O1177" s="3176">
        <v>26.98</v>
      </c>
      <c r="P1177" s="3176">
        <v>8.49</v>
      </c>
    </row>
    <row r="1178" spans="1:16" ht="15" thickBot="1">
      <c r="A1178" s="3174">
        <v>1176</v>
      </c>
      <c r="B1178" s="3175" t="s">
        <v>4617</v>
      </c>
      <c r="C1178" s="3176">
        <v>112.57</v>
      </c>
      <c r="D1178" s="3176">
        <v>35.44</v>
      </c>
      <c r="F1178" s="3177">
        <v>1176</v>
      </c>
      <c r="G1178" s="3175" t="s">
        <v>4548</v>
      </c>
      <c r="H1178" s="3178">
        <v>-2070</v>
      </c>
      <c r="I1178" s="3179">
        <v>8.0299999999999994</v>
      </c>
      <c r="J1178" s="3179">
        <v>2.5299999999999998</v>
      </c>
      <c r="L1178" s="3177">
        <v>1176</v>
      </c>
      <c r="M1178" s="3175">
        <v>-10390</v>
      </c>
      <c r="N1178" s="3175" t="s">
        <v>4187</v>
      </c>
      <c r="O1178" s="3176">
        <v>26.98</v>
      </c>
      <c r="P1178" s="3176">
        <v>8.49</v>
      </c>
    </row>
    <row r="1179" spans="1:16" ht="15" thickBot="1">
      <c r="A1179" s="3174">
        <v>1177</v>
      </c>
      <c r="B1179" s="3175" t="s">
        <v>4618</v>
      </c>
      <c r="C1179" s="3176">
        <v>89.35</v>
      </c>
      <c r="D1179" s="3176">
        <v>28.13</v>
      </c>
      <c r="F1179" s="3177">
        <v>1177</v>
      </c>
      <c r="G1179" s="3175" t="s">
        <v>4548</v>
      </c>
      <c r="H1179" s="3178">
        <v>-2071</v>
      </c>
      <c r="I1179" s="3179">
        <v>8.25</v>
      </c>
      <c r="J1179" s="3179">
        <v>2.6</v>
      </c>
      <c r="L1179" s="3177">
        <v>1177</v>
      </c>
      <c r="M1179" s="3175">
        <v>-10391</v>
      </c>
      <c r="N1179" s="3175" t="s">
        <v>4187</v>
      </c>
      <c r="O1179" s="3176">
        <v>26.98</v>
      </c>
      <c r="P1179" s="3176">
        <v>8.49</v>
      </c>
    </row>
    <row r="1180" spans="1:16" ht="15" thickBot="1">
      <c r="A1180" s="3174">
        <v>1178</v>
      </c>
      <c r="B1180" s="3175" t="s">
        <v>4619</v>
      </c>
      <c r="C1180" s="3176">
        <v>89.07</v>
      </c>
      <c r="D1180" s="3176">
        <v>28.04</v>
      </c>
      <c r="F1180" s="3177">
        <v>1178</v>
      </c>
      <c r="G1180" s="3175" t="s">
        <v>4548</v>
      </c>
      <c r="H1180" s="3178">
        <v>-2072</v>
      </c>
      <c r="I1180" s="3179">
        <v>9.73</v>
      </c>
      <c r="J1180" s="3179">
        <v>3.06</v>
      </c>
      <c r="L1180" s="3177">
        <v>1178</v>
      </c>
      <c r="M1180" s="3175">
        <v>-10392</v>
      </c>
      <c r="N1180" s="3175" t="s">
        <v>4187</v>
      </c>
      <c r="O1180" s="3176">
        <v>26.98</v>
      </c>
      <c r="P1180" s="3176">
        <v>8.49</v>
      </c>
    </row>
    <row r="1181" spans="1:16" ht="15" thickBot="1">
      <c r="A1181" s="3174">
        <v>1179</v>
      </c>
      <c r="B1181" s="3175" t="s">
        <v>4620</v>
      </c>
      <c r="C1181" s="3176">
        <v>89.07</v>
      </c>
      <c r="D1181" s="3176">
        <v>28.04</v>
      </c>
      <c r="F1181" s="3177">
        <v>1179</v>
      </c>
      <c r="G1181" s="3175" t="s">
        <v>4548</v>
      </c>
      <c r="H1181" s="3178">
        <v>-2073</v>
      </c>
      <c r="I1181" s="3179">
        <v>8.59</v>
      </c>
      <c r="J1181" s="3179">
        <v>2.7</v>
      </c>
      <c r="L1181" s="3177">
        <v>1179</v>
      </c>
      <c r="M1181" s="3175">
        <v>-10393</v>
      </c>
      <c r="N1181" s="3175" t="s">
        <v>4187</v>
      </c>
      <c r="O1181" s="3176">
        <v>26.98</v>
      </c>
      <c r="P1181" s="3176">
        <v>8.49</v>
      </c>
    </row>
    <row r="1182" spans="1:16" ht="15" thickBot="1">
      <c r="A1182" s="3174">
        <v>1180</v>
      </c>
      <c r="B1182" s="3175" t="s">
        <v>4621</v>
      </c>
      <c r="C1182" s="3176">
        <v>112.57</v>
      </c>
      <c r="D1182" s="3176">
        <v>35.44</v>
      </c>
      <c r="F1182" s="3177">
        <v>1180</v>
      </c>
      <c r="G1182" s="3175" t="s">
        <v>4548</v>
      </c>
      <c r="H1182" s="3178">
        <v>-2074</v>
      </c>
      <c r="I1182" s="3179">
        <v>8.85</v>
      </c>
      <c r="J1182" s="3179">
        <v>2.79</v>
      </c>
      <c r="L1182" s="3177">
        <v>1180</v>
      </c>
      <c r="M1182" s="3175">
        <v>-10394</v>
      </c>
      <c r="N1182" s="3175" t="s">
        <v>4187</v>
      </c>
      <c r="O1182" s="3176">
        <v>26.98</v>
      </c>
      <c r="P1182" s="3176">
        <v>8.49</v>
      </c>
    </row>
    <row r="1183" spans="1:16" ht="15" thickBot="1">
      <c r="A1183" s="3174">
        <v>1181</v>
      </c>
      <c r="B1183" s="3175" t="s">
        <v>4622</v>
      </c>
      <c r="C1183" s="3176">
        <v>89.35</v>
      </c>
      <c r="D1183" s="3176">
        <v>28.13</v>
      </c>
      <c r="F1183" s="3177">
        <v>1181</v>
      </c>
      <c r="G1183" s="3175" t="s">
        <v>4548</v>
      </c>
      <c r="H1183" s="3178">
        <v>-2075</v>
      </c>
      <c r="I1183" s="3179">
        <v>8.7100000000000009</v>
      </c>
      <c r="J1183" s="3179">
        <v>2.74</v>
      </c>
      <c r="L1183" s="3177">
        <v>1181</v>
      </c>
      <c r="M1183" s="3175">
        <v>-10395</v>
      </c>
      <c r="N1183" s="3175" t="s">
        <v>4187</v>
      </c>
      <c r="O1183" s="3176">
        <v>26.98</v>
      </c>
      <c r="P1183" s="3176">
        <v>8.49</v>
      </c>
    </row>
    <row r="1184" spans="1:16" ht="15" thickBot="1">
      <c r="A1184" s="3174">
        <v>1182</v>
      </c>
      <c r="B1184" s="3175" t="s">
        <v>4623</v>
      </c>
      <c r="C1184" s="3176">
        <v>89.07</v>
      </c>
      <c r="D1184" s="3176">
        <v>28.04</v>
      </c>
      <c r="F1184" s="3177">
        <v>1182</v>
      </c>
      <c r="G1184" s="3175" t="s">
        <v>4548</v>
      </c>
      <c r="H1184" s="3178">
        <v>-2076</v>
      </c>
      <c r="I1184" s="3179">
        <v>7.46</v>
      </c>
      <c r="J1184" s="3179">
        <v>2.35</v>
      </c>
      <c r="L1184" s="3177">
        <v>1182</v>
      </c>
      <c r="M1184" s="3175">
        <v>-10396</v>
      </c>
      <c r="N1184" s="3175" t="s">
        <v>4187</v>
      </c>
      <c r="O1184" s="3176">
        <v>26.98</v>
      </c>
      <c r="P1184" s="3176">
        <v>8.49</v>
      </c>
    </row>
    <row r="1185" spans="1:16" ht="15" thickBot="1">
      <c r="A1185" s="3174">
        <v>1183</v>
      </c>
      <c r="B1185" s="3175" t="s">
        <v>4624</v>
      </c>
      <c r="C1185" s="3176">
        <v>89.07</v>
      </c>
      <c r="D1185" s="3176">
        <v>28.04</v>
      </c>
      <c r="F1185" s="3177">
        <v>1183</v>
      </c>
      <c r="G1185" s="3175" t="s">
        <v>4548</v>
      </c>
      <c r="H1185" s="3178">
        <v>-2077</v>
      </c>
      <c r="I1185" s="3179">
        <v>7.24</v>
      </c>
      <c r="J1185" s="3179">
        <v>2.2799999999999998</v>
      </c>
      <c r="L1185" s="3177">
        <v>1183</v>
      </c>
      <c r="M1185" s="3175">
        <v>-10397</v>
      </c>
      <c r="N1185" s="3175" t="s">
        <v>4187</v>
      </c>
      <c r="O1185" s="3176">
        <v>26.98</v>
      </c>
      <c r="P1185" s="3176">
        <v>8.49</v>
      </c>
    </row>
    <row r="1186" spans="1:16" ht="15" thickBot="1">
      <c r="A1186" s="3174">
        <v>1184</v>
      </c>
      <c r="B1186" s="3175" t="s">
        <v>4625</v>
      </c>
      <c r="C1186" s="3176">
        <v>112.57</v>
      </c>
      <c r="D1186" s="3176">
        <v>35.44</v>
      </c>
      <c r="F1186" s="3177">
        <v>1184</v>
      </c>
      <c r="G1186" s="3175" t="s">
        <v>4548</v>
      </c>
      <c r="H1186" s="3178">
        <v>-2078</v>
      </c>
      <c r="I1186" s="3179">
        <v>7.24</v>
      </c>
      <c r="J1186" s="3179">
        <v>2.2799999999999998</v>
      </c>
      <c r="L1186" s="3177">
        <v>1184</v>
      </c>
      <c r="M1186" s="3175">
        <v>-10398</v>
      </c>
      <c r="N1186" s="3175" t="s">
        <v>4187</v>
      </c>
      <c r="O1186" s="3176">
        <v>26.98</v>
      </c>
      <c r="P1186" s="3176">
        <v>8.49</v>
      </c>
    </row>
    <row r="1187" spans="1:16" ht="15" thickBot="1">
      <c r="A1187" s="3174">
        <v>1185</v>
      </c>
      <c r="B1187" s="3175" t="s">
        <v>4626</v>
      </c>
      <c r="C1187" s="3176">
        <v>89.35</v>
      </c>
      <c r="D1187" s="3176">
        <v>28.13</v>
      </c>
      <c r="F1187" s="3177">
        <v>1185</v>
      </c>
      <c r="G1187" s="3175" t="s">
        <v>4548</v>
      </c>
      <c r="H1187" s="3178">
        <v>-2079</v>
      </c>
      <c r="I1187" s="3179">
        <v>7.54</v>
      </c>
      <c r="J1187" s="3179">
        <v>2.37</v>
      </c>
      <c r="L1187" s="3177">
        <v>1185</v>
      </c>
      <c r="M1187" s="3175">
        <v>-10399</v>
      </c>
      <c r="N1187" s="3175" t="s">
        <v>4187</v>
      </c>
      <c r="O1187" s="3176">
        <v>26.98</v>
      </c>
      <c r="P1187" s="3176">
        <v>8.49</v>
      </c>
    </row>
    <row r="1188" spans="1:16" ht="15" thickBot="1">
      <c r="A1188" s="3174">
        <v>1186</v>
      </c>
      <c r="B1188" s="3175" t="s">
        <v>4627</v>
      </c>
      <c r="C1188" s="3176">
        <v>89.07</v>
      </c>
      <c r="D1188" s="3176">
        <v>28.04</v>
      </c>
      <c r="F1188" s="3177">
        <v>1186</v>
      </c>
      <c r="G1188" s="3175" t="s">
        <v>4548</v>
      </c>
      <c r="H1188" s="3178">
        <v>-2080</v>
      </c>
      <c r="I1188" s="3179">
        <v>7.54</v>
      </c>
      <c r="J1188" s="3179">
        <v>2.37</v>
      </c>
      <c r="L1188" s="3177">
        <v>1186</v>
      </c>
      <c r="M1188" s="3175">
        <v>-10400</v>
      </c>
      <c r="N1188" s="3175" t="s">
        <v>4187</v>
      </c>
      <c r="O1188" s="3176">
        <v>26.98</v>
      </c>
      <c r="P1188" s="3176">
        <v>8.49</v>
      </c>
    </row>
    <row r="1189" spans="1:16" ht="15" thickBot="1">
      <c r="A1189" s="3174">
        <v>1187</v>
      </c>
      <c r="B1189" s="3175" t="s">
        <v>4628</v>
      </c>
      <c r="C1189" s="3176">
        <v>89.07</v>
      </c>
      <c r="D1189" s="3176">
        <v>28.04</v>
      </c>
      <c r="F1189" s="3177">
        <v>1187</v>
      </c>
      <c r="G1189" s="3175" t="s">
        <v>4548</v>
      </c>
      <c r="H1189" s="3178">
        <v>-2081</v>
      </c>
      <c r="I1189" s="3179">
        <v>7.24</v>
      </c>
      <c r="J1189" s="3179">
        <v>2.2799999999999998</v>
      </c>
      <c r="L1189" s="3177">
        <v>1187</v>
      </c>
      <c r="M1189" s="3175">
        <v>-10401</v>
      </c>
      <c r="N1189" s="3175" t="s">
        <v>4187</v>
      </c>
      <c r="O1189" s="3176">
        <v>26.98</v>
      </c>
      <c r="P1189" s="3176">
        <v>8.49</v>
      </c>
    </row>
    <row r="1190" spans="1:16" ht="15" thickBot="1">
      <c r="A1190" s="3174">
        <v>1188</v>
      </c>
      <c r="B1190" s="3175" t="s">
        <v>4629</v>
      </c>
      <c r="C1190" s="3176">
        <v>112.57</v>
      </c>
      <c r="D1190" s="3176">
        <v>35.44</v>
      </c>
      <c r="F1190" s="3177">
        <v>1188</v>
      </c>
      <c r="G1190" s="3175" t="s">
        <v>4548</v>
      </c>
      <c r="H1190" s="3178">
        <v>-2082</v>
      </c>
      <c r="I1190" s="3179">
        <v>7.24</v>
      </c>
      <c r="J1190" s="3179">
        <v>2.2799999999999998</v>
      </c>
      <c r="L1190" s="3177">
        <v>1188</v>
      </c>
      <c r="M1190" s="3175">
        <v>-10402</v>
      </c>
      <c r="N1190" s="3175" t="s">
        <v>4187</v>
      </c>
      <c r="O1190" s="3176">
        <v>26.98</v>
      </c>
      <c r="P1190" s="3176">
        <v>8.49</v>
      </c>
    </row>
    <row r="1191" spans="1:16" ht="15" thickBot="1">
      <c r="A1191" s="3174">
        <v>1189</v>
      </c>
      <c r="B1191" s="3175" t="s">
        <v>4630</v>
      </c>
      <c r="C1191" s="3176">
        <v>89.35</v>
      </c>
      <c r="D1191" s="3176">
        <v>28.13</v>
      </c>
      <c r="F1191" s="3177">
        <v>1189</v>
      </c>
      <c r="G1191" s="3175" t="s">
        <v>4548</v>
      </c>
      <c r="H1191" s="3178">
        <v>-2083</v>
      </c>
      <c r="I1191" s="3179">
        <v>7.46</v>
      </c>
      <c r="J1191" s="3179">
        <v>2.35</v>
      </c>
      <c r="L1191" s="3177">
        <v>1189</v>
      </c>
      <c r="M1191" s="3175">
        <v>-10403</v>
      </c>
      <c r="N1191" s="3175" t="s">
        <v>4187</v>
      </c>
      <c r="O1191" s="3176">
        <v>26.98</v>
      </c>
      <c r="P1191" s="3176">
        <v>8.49</v>
      </c>
    </row>
    <row r="1192" spans="1:16" ht="15" thickBot="1">
      <c r="A1192" s="3174">
        <v>1190</v>
      </c>
      <c r="B1192" s="3175" t="s">
        <v>4631</v>
      </c>
      <c r="C1192" s="3176">
        <v>89.07</v>
      </c>
      <c r="D1192" s="3176">
        <v>28.04</v>
      </c>
      <c r="F1192" s="3177">
        <v>1190</v>
      </c>
      <c r="G1192" s="3175" t="s">
        <v>4548</v>
      </c>
      <c r="H1192" s="3178">
        <v>-2084</v>
      </c>
      <c r="I1192" s="3179">
        <v>8.7100000000000009</v>
      </c>
      <c r="J1192" s="3179">
        <v>2.74</v>
      </c>
      <c r="L1192" s="3177">
        <v>1190</v>
      </c>
      <c r="M1192" s="3175">
        <v>-10404</v>
      </c>
      <c r="N1192" s="3175" t="s">
        <v>4187</v>
      </c>
      <c r="O1192" s="3176">
        <v>26.98</v>
      </c>
      <c r="P1192" s="3176">
        <v>8.49</v>
      </c>
    </row>
    <row r="1193" spans="1:16" ht="15" thickBot="1">
      <c r="A1193" s="3174">
        <v>1191</v>
      </c>
      <c r="B1193" s="3175" t="s">
        <v>4632</v>
      </c>
      <c r="C1193" s="3176">
        <v>89.07</v>
      </c>
      <c r="D1193" s="3176">
        <v>28.04</v>
      </c>
      <c r="F1193" s="3177">
        <v>1191</v>
      </c>
      <c r="G1193" s="3175" t="s">
        <v>4548</v>
      </c>
      <c r="H1193" s="3178">
        <v>-2085</v>
      </c>
      <c r="I1193" s="3179">
        <v>8.85</v>
      </c>
      <c r="J1193" s="3179">
        <v>2.79</v>
      </c>
      <c r="L1193" s="3177">
        <v>1191</v>
      </c>
      <c r="M1193" s="3175">
        <v>-10405</v>
      </c>
      <c r="N1193" s="3175" t="s">
        <v>4187</v>
      </c>
      <c r="O1193" s="3176">
        <v>26.98</v>
      </c>
      <c r="P1193" s="3176">
        <v>8.49</v>
      </c>
    </row>
    <row r="1194" spans="1:16" ht="15" thickBot="1">
      <c r="A1194" s="3174">
        <v>1192</v>
      </c>
      <c r="B1194" s="3175" t="s">
        <v>4633</v>
      </c>
      <c r="C1194" s="3176">
        <v>112.57</v>
      </c>
      <c r="D1194" s="3176">
        <v>35.44</v>
      </c>
      <c r="F1194" s="3177">
        <v>1192</v>
      </c>
      <c r="G1194" s="3175" t="s">
        <v>4548</v>
      </c>
      <c r="H1194" s="3178">
        <v>-2086</v>
      </c>
      <c r="I1194" s="3179">
        <v>8.59</v>
      </c>
      <c r="J1194" s="3179">
        <v>2.7</v>
      </c>
      <c r="L1194" s="3177">
        <v>1192</v>
      </c>
      <c r="M1194" s="3175">
        <v>-10406</v>
      </c>
      <c r="N1194" s="3175" t="s">
        <v>4187</v>
      </c>
      <c r="O1194" s="3176">
        <v>26.98</v>
      </c>
      <c r="P1194" s="3176">
        <v>8.49</v>
      </c>
    </row>
    <row r="1195" spans="1:16" ht="15" thickBot="1">
      <c r="A1195" s="3174">
        <v>1193</v>
      </c>
      <c r="B1195" s="3175" t="s">
        <v>4634</v>
      </c>
      <c r="C1195" s="3176">
        <v>89.35</v>
      </c>
      <c r="D1195" s="3176">
        <v>28.13</v>
      </c>
      <c r="F1195" s="3177">
        <v>1193</v>
      </c>
      <c r="G1195" s="3175" t="s">
        <v>4548</v>
      </c>
      <c r="H1195" s="3178">
        <v>-2087</v>
      </c>
      <c r="I1195" s="3179">
        <v>10.63</v>
      </c>
      <c r="J1195" s="3179">
        <v>3.35</v>
      </c>
      <c r="L1195" s="3177">
        <v>1193</v>
      </c>
      <c r="M1195" s="3175">
        <v>-10407</v>
      </c>
      <c r="N1195" s="3175" t="s">
        <v>4187</v>
      </c>
      <c r="O1195" s="3176">
        <v>26.98</v>
      </c>
      <c r="P1195" s="3176">
        <v>8.49</v>
      </c>
    </row>
    <row r="1196" spans="1:16" ht="15" thickBot="1">
      <c r="A1196" s="3174">
        <v>1194</v>
      </c>
      <c r="B1196" s="3175" t="s">
        <v>4635</v>
      </c>
      <c r="C1196" s="3176">
        <v>89.07</v>
      </c>
      <c r="D1196" s="3176">
        <v>28.04</v>
      </c>
      <c r="F1196" s="3177">
        <v>1194</v>
      </c>
      <c r="G1196" s="3175" t="s">
        <v>4548</v>
      </c>
      <c r="H1196" s="3178">
        <v>-2088</v>
      </c>
      <c r="I1196" s="3179">
        <v>8.65</v>
      </c>
      <c r="J1196" s="3179">
        <v>2.72</v>
      </c>
      <c r="L1196" s="3177">
        <v>1194</v>
      </c>
      <c r="M1196" s="3175">
        <v>-10408</v>
      </c>
      <c r="N1196" s="3175" t="s">
        <v>4187</v>
      </c>
      <c r="O1196" s="3176">
        <v>26.98</v>
      </c>
      <c r="P1196" s="3176">
        <v>8.49</v>
      </c>
    </row>
    <row r="1197" spans="1:16" ht="15" thickBot="1">
      <c r="A1197" s="3174">
        <v>1195</v>
      </c>
      <c r="B1197" s="3175" t="s">
        <v>4636</v>
      </c>
      <c r="C1197" s="3176">
        <v>89.07</v>
      </c>
      <c r="D1197" s="3176">
        <v>28.04</v>
      </c>
      <c r="F1197" s="3177">
        <v>1195</v>
      </c>
      <c r="G1197" s="3175" t="s">
        <v>4548</v>
      </c>
      <c r="H1197" s="3178">
        <v>-2089</v>
      </c>
      <c r="I1197" s="3179">
        <v>8.65</v>
      </c>
      <c r="J1197" s="3179">
        <v>2.72</v>
      </c>
      <c r="L1197" s="3177">
        <v>1195</v>
      </c>
      <c r="M1197" s="3175">
        <v>-10409</v>
      </c>
      <c r="N1197" s="3175" t="s">
        <v>4187</v>
      </c>
      <c r="O1197" s="3176">
        <v>26.98</v>
      </c>
      <c r="P1197" s="3176">
        <v>8.49</v>
      </c>
    </row>
    <row r="1198" spans="1:16" ht="15" thickBot="1">
      <c r="A1198" s="3174">
        <v>1196</v>
      </c>
      <c r="B1198" s="3175" t="s">
        <v>4637</v>
      </c>
      <c r="C1198" s="3176">
        <v>112.57</v>
      </c>
      <c r="D1198" s="3176">
        <v>35.44</v>
      </c>
      <c r="F1198" s="3177">
        <v>1196</v>
      </c>
      <c r="G1198" s="3175" t="s">
        <v>4548</v>
      </c>
      <c r="H1198" s="3178">
        <v>-2090</v>
      </c>
      <c r="I1198" s="3179">
        <v>14.98</v>
      </c>
      <c r="J1198" s="3179">
        <v>4.72</v>
      </c>
      <c r="L1198" s="3177">
        <v>1196</v>
      </c>
      <c r="M1198" s="3175">
        <v>-10410</v>
      </c>
      <c r="N1198" s="3175" t="s">
        <v>4187</v>
      </c>
      <c r="O1198" s="3176">
        <v>26.98</v>
      </c>
      <c r="P1198" s="3176">
        <v>8.49</v>
      </c>
    </row>
    <row r="1199" spans="1:16" ht="15" thickBot="1">
      <c r="A1199" s="3174">
        <v>1197</v>
      </c>
      <c r="B1199" s="3175" t="s">
        <v>4638</v>
      </c>
      <c r="C1199" s="3176">
        <v>112.57</v>
      </c>
      <c r="D1199" s="3176">
        <v>35.44</v>
      </c>
      <c r="F1199" s="3177">
        <v>1197</v>
      </c>
      <c r="G1199" s="3175" t="s">
        <v>4548</v>
      </c>
      <c r="H1199" s="3178">
        <v>-2091</v>
      </c>
      <c r="I1199" s="3179">
        <v>8.7100000000000009</v>
      </c>
      <c r="J1199" s="3179">
        <v>2.74</v>
      </c>
      <c r="L1199" s="3177">
        <v>1197</v>
      </c>
      <c r="M1199" s="3175">
        <v>-10411</v>
      </c>
      <c r="N1199" s="3175" t="s">
        <v>4187</v>
      </c>
      <c r="O1199" s="3176">
        <v>26.98</v>
      </c>
      <c r="P1199" s="3176">
        <v>8.49</v>
      </c>
    </row>
    <row r="1200" spans="1:16" ht="15" thickBot="1">
      <c r="A1200" s="3174">
        <v>1198</v>
      </c>
      <c r="B1200" s="3175" t="s">
        <v>4639</v>
      </c>
      <c r="C1200" s="3176">
        <v>89.07</v>
      </c>
      <c r="D1200" s="3176">
        <v>28.04</v>
      </c>
      <c r="F1200" s="3177">
        <v>1198</v>
      </c>
      <c r="G1200" s="3175" t="s">
        <v>4548</v>
      </c>
      <c r="H1200" s="3178">
        <v>-2092</v>
      </c>
      <c r="I1200" s="3179">
        <v>11.8</v>
      </c>
      <c r="J1200" s="3179">
        <v>3.72</v>
      </c>
      <c r="L1200" s="3177">
        <v>1198</v>
      </c>
      <c r="M1200" s="3175">
        <v>-10412</v>
      </c>
      <c r="N1200" s="3175" t="s">
        <v>4187</v>
      </c>
      <c r="O1200" s="3176">
        <v>26.98</v>
      </c>
      <c r="P1200" s="3176">
        <v>8.49</v>
      </c>
    </row>
    <row r="1201" spans="1:16" ht="15" thickBot="1">
      <c r="A1201" s="3174">
        <v>1199</v>
      </c>
      <c r="B1201" s="3175" t="s">
        <v>4640</v>
      </c>
      <c r="C1201" s="3176">
        <v>89.07</v>
      </c>
      <c r="D1201" s="3176">
        <v>28.04</v>
      </c>
      <c r="F1201" s="3177">
        <v>1199</v>
      </c>
      <c r="G1201" s="3175" t="s">
        <v>4548</v>
      </c>
      <c r="H1201" s="3178">
        <v>-2093</v>
      </c>
      <c r="I1201" s="3179">
        <v>8.07</v>
      </c>
      <c r="J1201" s="3179">
        <v>2.54</v>
      </c>
      <c r="L1201" s="3177">
        <v>1199</v>
      </c>
      <c r="M1201" s="3175">
        <v>-10413</v>
      </c>
      <c r="N1201" s="3175" t="s">
        <v>4187</v>
      </c>
      <c r="O1201" s="3176">
        <v>26.98</v>
      </c>
      <c r="P1201" s="3176">
        <v>8.49</v>
      </c>
    </row>
    <row r="1202" spans="1:16" ht="15" thickBot="1">
      <c r="A1202" s="3174">
        <v>1200</v>
      </c>
      <c r="B1202" s="3175" t="s">
        <v>4641</v>
      </c>
      <c r="C1202" s="3176">
        <v>89.35</v>
      </c>
      <c r="D1202" s="3176">
        <v>28.13</v>
      </c>
      <c r="F1202" s="3177">
        <v>1200</v>
      </c>
      <c r="G1202" s="3175" t="s">
        <v>4548</v>
      </c>
      <c r="H1202" s="3178">
        <v>-2094</v>
      </c>
      <c r="I1202" s="3179">
        <v>11.7</v>
      </c>
      <c r="J1202" s="3179">
        <v>3.68</v>
      </c>
      <c r="L1202" s="3177">
        <v>1200</v>
      </c>
      <c r="M1202" s="3175">
        <v>-10414</v>
      </c>
      <c r="N1202" s="3175" t="s">
        <v>4187</v>
      </c>
      <c r="O1202" s="3176">
        <v>26.98</v>
      </c>
      <c r="P1202" s="3176">
        <v>8.49</v>
      </c>
    </row>
    <row r="1203" spans="1:16" ht="15" thickBot="1">
      <c r="A1203" s="3174">
        <v>1201</v>
      </c>
      <c r="B1203" s="3175" t="s">
        <v>4642</v>
      </c>
      <c r="C1203" s="3176">
        <v>112.57</v>
      </c>
      <c r="D1203" s="3176">
        <v>35.44</v>
      </c>
      <c r="F1203" s="3177">
        <v>1201</v>
      </c>
      <c r="G1203" s="3175" t="s">
        <v>4548</v>
      </c>
      <c r="H1203" s="3178">
        <v>-2095</v>
      </c>
      <c r="I1203" s="3179">
        <v>11.7</v>
      </c>
      <c r="J1203" s="3179">
        <v>3.68</v>
      </c>
      <c r="L1203" s="3177">
        <v>1201</v>
      </c>
      <c r="M1203" s="3175">
        <v>-10415</v>
      </c>
      <c r="N1203" s="3175" t="s">
        <v>4187</v>
      </c>
      <c r="O1203" s="3176">
        <v>26.98</v>
      </c>
      <c r="P1203" s="3176">
        <v>8.49</v>
      </c>
    </row>
    <row r="1204" spans="1:16" ht="15" thickBot="1">
      <c r="A1204" s="3174">
        <v>1202</v>
      </c>
      <c r="B1204" s="3175" t="s">
        <v>4643</v>
      </c>
      <c r="C1204" s="3176">
        <v>89.07</v>
      </c>
      <c r="D1204" s="3176">
        <v>28.04</v>
      </c>
      <c r="F1204" s="3177">
        <v>1202</v>
      </c>
      <c r="G1204" s="3175" t="s">
        <v>4548</v>
      </c>
      <c r="H1204" s="3178">
        <v>-2096</v>
      </c>
      <c r="I1204" s="3179">
        <v>11.84</v>
      </c>
      <c r="J1204" s="3179">
        <v>3.73</v>
      </c>
      <c r="L1204" s="3177">
        <v>1202</v>
      </c>
      <c r="M1204" s="3175">
        <v>-10416</v>
      </c>
      <c r="N1204" s="3175" t="s">
        <v>4187</v>
      </c>
      <c r="O1204" s="3176">
        <v>26.98</v>
      </c>
      <c r="P1204" s="3176">
        <v>8.49</v>
      </c>
    </row>
    <row r="1205" spans="1:16" ht="15" thickBot="1">
      <c r="A1205" s="3174">
        <v>1203</v>
      </c>
      <c r="B1205" s="3175" t="s">
        <v>4644</v>
      </c>
      <c r="C1205" s="3176">
        <v>89.07</v>
      </c>
      <c r="D1205" s="3176">
        <v>28.04</v>
      </c>
      <c r="F1205" s="3177">
        <v>1203</v>
      </c>
      <c r="G1205" s="3175" t="s">
        <v>4548</v>
      </c>
      <c r="H1205" s="3178">
        <v>-2097</v>
      </c>
      <c r="I1205" s="3179">
        <v>11.84</v>
      </c>
      <c r="J1205" s="3179">
        <v>3.73</v>
      </c>
      <c r="L1205" s="3177">
        <v>1203</v>
      </c>
      <c r="M1205" s="3175">
        <v>-10417</v>
      </c>
      <c r="N1205" s="3175" t="s">
        <v>4187</v>
      </c>
      <c r="O1205" s="3176">
        <v>26.98</v>
      </c>
      <c r="P1205" s="3176">
        <v>8.49</v>
      </c>
    </row>
    <row r="1206" spans="1:16" ht="15" thickBot="1">
      <c r="A1206" s="3174">
        <v>1204</v>
      </c>
      <c r="B1206" s="3175" t="s">
        <v>4645</v>
      </c>
      <c r="C1206" s="3176">
        <v>89.35</v>
      </c>
      <c r="D1206" s="3176">
        <v>28.13</v>
      </c>
      <c r="F1206" s="3177">
        <v>1204</v>
      </c>
      <c r="G1206" s="3175" t="s">
        <v>4548</v>
      </c>
      <c r="H1206" s="3178">
        <v>-2098</v>
      </c>
      <c r="I1206" s="3179">
        <v>8.65</v>
      </c>
      <c r="J1206" s="3179">
        <v>2.72</v>
      </c>
      <c r="L1206" s="3177">
        <v>1204</v>
      </c>
      <c r="M1206" s="3175">
        <v>-10418</v>
      </c>
      <c r="N1206" s="3175" t="s">
        <v>4187</v>
      </c>
      <c r="O1206" s="3176">
        <v>26.98</v>
      </c>
      <c r="P1206" s="3176">
        <v>8.49</v>
      </c>
    </row>
    <row r="1207" spans="1:16" ht="15" thickBot="1">
      <c r="A1207" s="3174">
        <v>1205</v>
      </c>
      <c r="B1207" s="3175" t="s">
        <v>4646</v>
      </c>
      <c r="C1207" s="3176">
        <v>112.57</v>
      </c>
      <c r="D1207" s="3176">
        <v>35.44</v>
      </c>
      <c r="F1207" s="3177">
        <v>1205</v>
      </c>
      <c r="G1207" s="3175" t="s">
        <v>4548</v>
      </c>
      <c r="H1207" s="3178">
        <v>-2099</v>
      </c>
      <c r="I1207" s="3179">
        <v>8.65</v>
      </c>
      <c r="J1207" s="3179">
        <v>2.72</v>
      </c>
      <c r="L1207" s="3177">
        <v>1205</v>
      </c>
      <c r="M1207" s="3175">
        <v>-10419</v>
      </c>
      <c r="N1207" s="3175" t="s">
        <v>4187</v>
      </c>
      <c r="O1207" s="3176">
        <v>26.98</v>
      </c>
      <c r="P1207" s="3176">
        <v>8.49</v>
      </c>
    </row>
    <row r="1208" spans="1:16" ht="15" thickBot="1">
      <c r="A1208" s="3174">
        <v>1206</v>
      </c>
      <c r="B1208" s="3175" t="s">
        <v>4647</v>
      </c>
      <c r="C1208" s="3176">
        <v>89.07</v>
      </c>
      <c r="D1208" s="3176">
        <v>28.04</v>
      </c>
      <c r="F1208" s="3177">
        <v>1206</v>
      </c>
      <c r="G1208" s="3175" t="s">
        <v>4548</v>
      </c>
      <c r="H1208" s="3178">
        <v>-2100</v>
      </c>
      <c r="I1208" s="3179">
        <v>10.63</v>
      </c>
      <c r="J1208" s="3179">
        <v>3.35</v>
      </c>
      <c r="L1208" s="3177">
        <v>1206</v>
      </c>
      <c r="M1208" s="3175">
        <v>-10420</v>
      </c>
      <c r="N1208" s="3175" t="s">
        <v>4187</v>
      </c>
      <c r="O1208" s="3176">
        <v>26.98</v>
      </c>
      <c r="P1208" s="3176">
        <v>8.49</v>
      </c>
    </row>
    <row r="1209" spans="1:16" ht="15" thickBot="1">
      <c r="A1209" s="3174">
        <v>1207</v>
      </c>
      <c r="B1209" s="3175" t="s">
        <v>4648</v>
      </c>
      <c r="C1209" s="3176">
        <v>89.07</v>
      </c>
      <c r="D1209" s="3176">
        <v>28.04</v>
      </c>
      <c r="F1209" s="3177">
        <v>1207</v>
      </c>
      <c r="G1209" s="3175" t="s">
        <v>4548</v>
      </c>
      <c r="H1209" s="3178">
        <v>-2101</v>
      </c>
      <c r="I1209" s="3179">
        <v>8.59</v>
      </c>
      <c r="J1209" s="3179">
        <v>2.7</v>
      </c>
      <c r="L1209" s="3177">
        <v>1207</v>
      </c>
      <c r="M1209" s="3175">
        <v>-10421</v>
      </c>
      <c r="N1209" s="3175" t="s">
        <v>4187</v>
      </c>
      <c r="O1209" s="3176">
        <v>26.98</v>
      </c>
      <c r="P1209" s="3176">
        <v>8.49</v>
      </c>
    </row>
    <row r="1210" spans="1:16" ht="15" thickBot="1">
      <c r="A1210" s="3174">
        <v>1208</v>
      </c>
      <c r="B1210" s="3175" t="s">
        <v>4649</v>
      </c>
      <c r="C1210" s="3176">
        <v>89.35</v>
      </c>
      <c r="D1210" s="3176">
        <v>28.13</v>
      </c>
      <c r="F1210" s="3177">
        <v>1208</v>
      </c>
      <c r="G1210" s="3175" t="s">
        <v>4548</v>
      </c>
      <c r="H1210" s="3178">
        <v>-2102</v>
      </c>
      <c r="I1210" s="3179">
        <v>8.85</v>
      </c>
      <c r="J1210" s="3179">
        <v>2.79</v>
      </c>
      <c r="L1210" s="3177">
        <v>1208</v>
      </c>
      <c r="M1210" s="3175">
        <v>-10422</v>
      </c>
      <c r="N1210" s="3175" t="s">
        <v>4187</v>
      </c>
      <c r="O1210" s="3176">
        <v>26.98</v>
      </c>
      <c r="P1210" s="3176">
        <v>8.49</v>
      </c>
    </row>
    <row r="1211" spans="1:16" ht="15" thickBot="1">
      <c r="A1211" s="3174">
        <v>1209</v>
      </c>
      <c r="B1211" s="3175" t="s">
        <v>4650</v>
      </c>
      <c r="C1211" s="3176">
        <v>112.57</v>
      </c>
      <c r="D1211" s="3176">
        <v>35.44</v>
      </c>
      <c r="F1211" s="3177">
        <v>1209</v>
      </c>
      <c r="G1211" s="3175" t="s">
        <v>4548</v>
      </c>
      <c r="H1211" s="3178">
        <v>-2103</v>
      </c>
      <c r="I1211" s="3179">
        <v>8.7100000000000009</v>
      </c>
      <c r="J1211" s="3179">
        <v>2.74</v>
      </c>
      <c r="L1211" s="3177">
        <v>1209</v>
      </c>
      <c r="M1211" s="3175">
        <v>-10423</v>
      </c>
      <c r="N1211" s="3175" t="s">
        <v>4187</v>
      </c>
      <c r="O1211" s="3176">
        <v>26.98</v>
      </c>
      <c r="P1211" s="3176">
        <v>8.49</v>
      </c>
    </row>
    <row r="1212" spans="1:16" ht="15" thickBot="1">
      <c r="A1212" s="3174">
        <v>1210</v>
      </c>
      <c r="B1212" s="3175" t="s">
        <v>4651</v>
      </c>
      <c r="C1212" s="3176">
        <v>89.07</v>
      </c>
      <c r="D1212" s="3176">
        <v>28.04</v>
      </c>
      <c r="F1212" s="3177">
        <v>1210</v>
      </c>
      <c r="G1212" s="3175" t="s">
        <v>4548</v>
      </c>
      <c r="H1212" s="3178">
        <v>-2104</v>
      </c>
      <c r="I1212" s="3179">
        <v>7.46</v>
      </c>
      <c r="J1212" s="3179">
        <v>2.35</v>
      </c>
      <c r="L1212" s="3177">
        <v>1210</v>
      </c>
      <c r="M1212" s="3175">
        <v>-10424</v>
      </c>
      <c r="N1212" s="3175" t="s">
        <v>4187</v>
      </c>
      <c r="O1212" s="3176">
        <v>26.98</v>
      </c>
      <c r="P1212" s="3176">
        <v>8.49</v>
      </c>
    </row>
    <row r="1213" spans="1:16" ht="15" thickBot="1">
      <c r="A1213" s="3174">
        <v>1211</v>
      </c>
      <c r="B1213" s="3175" t="s">
        <v>4652</v>
      </c>
      <c r="C1213" s="3176">
        <v>89.07</v>
      </c>
      <c r="D1213" s="3176">
        <v>28.04</v>
      </c>
      <c r="F1213" s="3177">
        <v>1211</v>
      </c>
      <c r="G1213" s="3175" t="s">
        <v>4548</v>
      </c>
      <c r="H1213" s="3178">
        <v>-2105</v>
      </c>
      <c r="I1213" s="3179">
        <v>7.24</v>
      </c>
      <c r="J1213" s="3179">
        <v>2.2799999999999998</v>
      </c>
      <c r="L1213" s="3177">
        <v>1211</v>
      </c>
      <c r="M1213" s="3175">
        <v>-10425</v>
      </c>
      <c r="N1213" s="3175" t="s">
        <v>4187</v>
      </c>
      <c r="O1213" s="3176">
        <v>26.98</v>
      </c>
      <c r="P1213" s="3176">
        <v>8.49</v>
      </c>
    </row>
    <row r="1214" spans="1:16" ht="15" thickBot="1">
      <c r="A1214" s="3174">
        <v>1212</v>
      </c>
      <c r="B1214" s="3175" t="s">
        <v>4653</v>
      </c>
      <c r="C1214" s="3176">
        <v>89.35</v>
      </c>
      <c r="D1214" s="3176">
        <v>28.13</v>
      </c>
      <c r="F1214" s="3177">
        <v>1212</v>
      </c>
      <c r="G1214" s="3175" t="s">
        <v>4548</v>
      </c>
      <c r="H1214" s="3178">
        <v>-2106</v>
      </c>
      <c r="I1214" s="3179">
        <v>7.24</v>
      </c>
      <c r="J1214" s="3179">
        <v>2.2799999999999998</v>
      </c>
      <c r="L1214" s="3177">
        <v>1212</v>
      </c>
      <c r="M1214" s="3175">
        <v>-10426</v>
      </c>
      <c r="N1214" s="3175" t="s">
        <v>4187</v>
      </c>
      <c r="O1214" s="3176">
        <v>26.98</v>
      </c>
      <c r="P1214" s="3176">
        <v>8.49</v>
      </c>
    </row>
    <row r="1215" spans="1:16" ht="15" thickBot="1">
      <c r="A1215" s="3174">
        <v>1213</v>
      </c>
      <c r="B1215" s="3175" t="s">
        <v>4654</v>
      </c>
      <c r="C1215" s="3176">
        <v>112.57</v>
      </c>
      <c r="D1215" s="3176">
        <v>35.44</v>
      </c>
      <c r="F1215" s="3177">
        <v>1213</v>
      </c>
      <c r="G1215" s="3175" t="s">
        <v>4548</v>
      </c>
      <c r="H1215" s="3178">
        <v>-2107</v>
      </c>
      <c r="I1215" s="3179">
        <v>7.54</v>
      </c>
      <c r="J1215" s="3179">
        <v>2.37</v>
      </c>
      <c r="L1215" s="3177">
        <v>1213</v>
      </c>
      <c r="M1215" s="3175">
        <v>-10427</v>
      </c>
      <c r="N1215" s="3175" t="s">
        <v>4187</v>
      </c>
      <c r="O1215" s="3176">
        <v>26.98</v>
      </c>
      <c r="P1215" s="3176">
        <v>8.49</v>
      </c>
    </row>
    <row r="1216" spans="1:16" ht="15" thickBot="1">
      <c r="A1216" s="3174">
        <v>1214</v>
      </c>
      <c r="B1216" s="3175" t="s">
        <v>4655</v>
      </c>
      <c r="C1216" s="3176">
        <v>89.07</v>
      </c>
      <c r="D1216" s="3176">
        <v>28.04</v>
      </c>
      <c r="F1216" s="3177">
        <v>1214</v>
      </c>
      <c r="G1216" s="3175" t="s">
        <v>4548</v>
      </c>
      <c r="H1216" s="3178">
        <v>-2108</v>
      </c>
      <c r="I1216" s="3179">
        <v>7.54</v>
      </c>
      <c r="J1216" s="3179">
        <v>2.37</v>
      </c>
      <c r="L1216" s="3177">
        <v>1214</v>
      </c>
      <c r="M1216" s="3175">
        <v>-10428</v>
      </c>
      <c r="N1216" s="3175" t="s">
        <v>4187</v>
      </c>
      <c r="O1216" s="3176">
        <v>26.98</v>
      </c>
      <c r="P1216" s="3176">
        <v>8.49</v>
      </c>
    </row>
    <row r="1217" spans="1:16" ht="15" thickBot="1">
      <c r="A1217" s="3174">
        <v>1215</v>
      </c>
      <c r="B1217" s="3175" t="s">
        <v>4656</v>
      </c>
      <c r="C1217" s="3176">
        <v>89.07</v>
      </c>
      <c r="D1217" s="3176">
        <v>28.04</v>
      </c>
      <c r="F1217" s="3177">
        <v>1215</v>
      </c>
      <c r="G1217" s="3175" t="s">
        <v>4548</v>
      </c>
      <c r="H1217" s="3178">
        <v>-2109</v>
      </c>
      <c r="I1217" s="3179">
        <v>7.24</v>
      </c>
      <c r="J1217" s="3179">
        <v>2.2799999999999998</v>
      </c>
      <c r="L1217" s="3177">
        <v>1215</v>
      </c>
      <c r="M1217" s="3175">
        <v>-10429</v>
      </c>
      <c r="N1217" s="3175" t="s">
        <v>4187</v>
      </c>
      <c r="O1217" s="3176">
        <v>26.98</v>
      </c>
      <c r="P1217" s="3176">
        <v>8.49</v>
      </c>
    </row>
    <row r="1218" spans="1:16" ht="15" thickBot="1">
      <c r="A1218" s="3174">
        <v>1216</v>
      </c>
      <c r="B1218" s="3175" t="s">
        <v>4657</v>
      </c>
      <c r="C1218" s="3176">
        <v>89.35</v>
      </c>
      <c r="D1218" s="3176">
        <v>28.13</v>
      </c>
      <c r="F1218" s="3177">
        <v>1216</v>
      </c>
      <c r="G1218" s="3175" t="s">
        <v>4548</v>
      </c>
      <c r="H1218" s="3178">
        <v>-2110</v>
      </c>
      <c r="I1218" s="3179">
        <v>7.24</v>
      </c>
      <c r="J1218" s="3179">
        <v>2.2799999999999998</v>
      </c>
      <c r="L1218" s="3177">
        <v>1216</v>
      </c>
      <c r="M1218" s="3175">
        <v>-10430</v>
      </c>
      <c r="N1218" s="3175" t="s">
        <v>4187</v>
      </c>
      <c r="O1218" s="3176">
        <v>26.98</v>
      </c>
      <c r="P1218" s="3176">
        <v>8.49</v>
      </c>
    </row>
    <row r="1219" spans="1:16" ht="15" thickBot="1">
      <c r="A1219" s="3174">
        <v>1217</v>
      </c>
      <c r="B1219" s="3175" t="s">
        <v>4658</v>
      </c>
      <c r="C1219" s="3176">
        <v>112.57</v>
      </c>
      <c r="D1219" s="3176">
        <v>35.44</v>
      </c>
      <c r="F1219" s="3177">
        <v>1217</v>
      </c>
      <c r="G1219" s="3175" t="s">
        <v>4548</v>
      </c>
      <c r="H1219" s="3178">
        <v>-2111</v>
      </c>
      <c r="I1219" s="3179">
        <v>7.46</v>
      </c>
      <c r="J1219" s="3179">
        <v>2.35</v>
      </c>
      <c r="L1219" s="3177">
        <v>1217</v>
      </c>
      <c r="M1219" s="3175">
        <v>-10431</v>
      </c>
      <c r="N1219" s="3175" t="s">
        <v>4187</v>
      </c>
      <c r="O1219" s="3176">
        <v>26.98</v>
      </c>
      <c r="P1219" s="3176">
        <v>8.49</v>
      </c>
    </row>
    <row r="1220" spans="1:16" ht="15" thickBot="1">
      <c r="A1220" s="3174">
        <v>1218</v>
      </c>
      <c r="B1220" s="3175" t="s">
        <v>4659</v>
      </c>
      <c r="C1220" s="3176">
        <v>89.07</v>
      </c>
      <c r="D1220" s="3176">
        <v>28.04</v>
      </c>
      <c r="F1220" s="3177">
        <v>1218</v>
      </c>
      <c r="G1220" s="3175" t="s">
        <v>4548</v>
      </c>
      <c r="H1220" s="3178">
        <v>-2112</v>
      </c>
      <c r="I1220" s="3179">
        <v>8.7100000000000009</v>
      </c>
      <c r="J1220" s="3179">
        <v>2.74</v>
      </c>
      <c r="L1220" s="3177">
        <v>1218</v>
      </c>
      <c r="M1220" s="3175">
        <v>-10432</v>
      </c>
      <c r="N1220" s="3175" t="s">
        <v>4187</v>
      </c>
      <c r="O1220" s="3176">
        <v>26.98</v>
      </c>
      <c r="P1220" s="3176">
        <v>8.49</v>
      </c>
    </row>
    <row r="1221" spans="1:16" ht="15" thickBot="1">
      <c r="A1221" s="3174">
        <v>1219</v>
      </c>
      <c r="B1221" s="3175" t="s">
        <v>4660</v>
      </c>
      <c r="C1221" s="3176">
        <v>89.07</v>
      </c>
      <c r="D1221" s="3176">
        <v>28.04</v>
      </c>
      <c r="F1221" s="3177">
        <v>1219</v>
      </c>
      <c r="G1221" s="3175" t="s">
        <v>4548</v>
      </c>
      <c r="H1221" s="3178">
        <v>-2113</v>
      </c>
      <c r="I1221" s="3179">
        <v>8.85</v>
      </c>
      <c r="J1221" s="3179">
        <v>2.79</v>
      </c>
      <c r="L1221" s="3177">
        <v>1219</v>
      </c>
      <c r="M1221" s="3175">
        <v>-10433</v>
      </c>
      <c r="N1221" s="3175" t="s">
        <v>4187</v>
      </c>
      <c r="O1221" s="3176">
        <v>26.98</v>
      </c>
      <c r="P1221" s="3176">
        <v>8.49</v>
      </c>
    </row>
    <row r="1222" spans="1:16" ht="15" thickBot="1">
      <c r="A1222" s="3174">
        <v>1220</v>
      </c>
      <c r="B1222" s="3175" t="s">
        <v>4661</v>
      </c>
      <c r="C1222" s="3176">
        <v>89.35</v>
      </c>
      <c r="D1222" s="3176">
        <v>28.13</v>
      </c>
      <c r="F1222" s="3177">
        <v>1220</v>
      </c>
      <c r="G1222" s="3175" t="s">
        <v>4548</v>
      </c>
      <c r="H1222" s="3178">
        <v>-2114</v>
      </c>
      <c r="I1222" s="3179">
        <v>8.59</v>
      </c>
      <c r="J1222" s="3179">
        <v>2.7</v>
      </c>
      <c r="L1222" s="3177">
        <v>1220</v>
      </c>
      <c r="M1222" s="3175">
        <v>-10434</v>
      </c>
      <c r="N1222" s="3175" t="s">
        <v>4187</v>
      </c>
      <c r="O1222" s="3176">
        <v>26.98</v>
      </c>
      <c r="P1222" s="3176">
        <v>8.49</v>
      </c>
    </row>
    <row r="1223" spans="1:16" ht="15" thickBot="1">
      <c r="A1223" s="3174">
        <v>1221</v>
      </c>
      <c r="B1223" s="3175" t="s">
        <v>4662</v>
      </c>
      <c r="C1223" s="3176">
        <v>112.57</v>
      </c>
      <c r="D1223" s="3176">
        <v>35.44</v>
      </c>
      <c r="F1223" s="3177">
        <v>1221</v>
      </c>
      <c r="G1223" s="3175" t="s">
        <v>4548</v>
      </c>
      <c r="H1223" s="3178">
        <v>-2115</v>
      </c>
      <c r="I1223" s="3179">
        <v>10.73</v>
      </c>
      <c r="J1223" s="3179">
        <v>3.38</v>
      </c>
      <c r="L1223" s="3177">
        <v>1221</v>
      </c>
      <c r="M1223" s="3175">
        <v>-10435</v>
      </c>
      <c r="N1223" s="3175" t="s">
        <v>4187</v>
      </c>
      <c r="O1223" s="3176">
        <v>26.98</v>
      </c>
      <c r="P1223" s="3176">
        <v>8.49</v>
      </c>
    </row>
    <row r="1224" spans="1:16" ht="15" thickBot="1">
      <c r="A1224" s="3174">
        <v>1222</v>
      </c>
      <c r="B1224" s="3175" t="s">
        <v>4663</v>
      </c>
      <c r="C1224" s="3176">
        <v>89.07</v>
      </c>
      <c r="D1224" s="3176">
        <v>28.04</v>
      </c>
      <c r="F1224" s="3177">
        <v>1222</v>
      </c>
      <c r="G1224" s="3175" t="s">
        <v>4664</v>
      </c>
      <c r="H1224" s="3178">
        <v>-1001</v>
      </c>
      <c r="I1224" s="3179">
        <v>11.05</v>
      </c>
      <c r="J1224" s="3179">
        <v>3.48</v>
      </c>
      <c r="L1224" s="3177">
        <v>1222</v>
      </c>
      <c r="M1224" s="3175">
        <v>-10436</v>
      </c>
      <c r="N1224" s="3175" t="s">
        <v>4187</v>
      </c>
      <c r="O1224" s="3176">
        <v>26.98</v>
      </c>
      <c r="P1224" s="3176">
        <v>8.49</v>
      </c>
    </row>
    <row r="1225" spans="1:16" ht="15" thickBot="1">
      <c r="A1225" s="3174">
        <v>1223</v>
      </c>
      <c r="B1225" s="3175" t="s">
        <v>4665</v>
      </c>
      <c r="C1225" s="3176">
        <v>89.07</v>
      </c>
      <c r="D1225" s="3176">
        <v>28.04</v>
      </c>
      <c r="F1225" s="3177">
        <v>1223</v>
      </c>
      <c r="G1225" s="3175" t="s">
        <v>4664</v>
      </c>
      <c r="H1225" s="3178">
        <v>-1002</v>
      </c>
      <c r="I1225" s="3179">
        <v>11.23</v>
      </c>
      <c r="J1225" s="3179">
        <v>3.54</v>
      </c>
      <c r="L1225" s="3177">
        <v>1223</v>
      </c>
      <c r="M1225" s="3175">
        <v>-10437</v>
      </c>
      <c r="N1225" s="3175" t="s">
        <v>4187</v>
      </c>
      <c r="O1225" s="3176">
        <v>26.98</v>
      </c>
      <c r="P1225" s="3176">
        <v>8.49</v>
      </c>
    </row>
    <row r="1226" spans="1:16" ht="15" thickBot="1">
      <c r="A1226" s="3174">
        <v>1224</v>
      </c>
      <c r="B1226" s="3175" t="s">
        <v>4666</v>
      </c>
      <c r="C1226" s="3176">
        <v>89.35</v>
      </c>
      <c r="D1226" s="3176">
        <v>28.13</v>
      </c>
      <c r="F1226" s="3177">
        <v>1224</v>
      </c>
      <c r="G1226" s="3175" t="s">
        <v>4664</v>
      </c>
      <c r="H1226" s="3178">
        <v>-1003</v>
      </c>
      <c r="I1226" s="3179">
        <v>14.33</v>
      </c>
      <c r="J1226" s="3179">
        <v>4.51</v>
      </c>
      <c r="L1226" s="3177">
        <v>1224</v>
      </c>
      <c r="M1226" s="3175">
        <v>-10438</v>
      </c>
      <c r="N1226" s="3175" t="s">
        <v>4187</v>
      </c>
      <c r="O1226" s="3176">
        <v>26.98</v>
      </c>
      <c r="P1226" s="3176">
        <v>8.49</v>
      </c>
    </row>
    <row r="1227" spans="1:16" ht="15" thickBot="1">
      <c r="A1227" s="3174">
        <v>1225</v>
      </c>
      <c r="B1227" s="3175" t="s">
        <v>4667</v>
      </c>
      <c r="C1227" s="3176">
        <v>112.57</v>
      </c>
      <c r="D1227" s="3176">
        <v>35.44</v>
      </c>
      <c r="F1227" s="3177">
        <v>1225</v>
      </c>
      <c r="G1227" s="3175" t="s">
        <v>4664</v>
      </c>
      <c r="H1227" s="3178">
        <v>-1004</v>
      </c>
      <c r="I1227" s="3179">
        <v>19.43</v>
      </c>
      <c r="J1227" s="3179">
        <v>6.12</v>
      </c>
      <c r="L1227" s="3177">
        <v>1225</v>
      </c>
      <c r="M1227" s="3175">
        <v>-10439</v>
      </c>
      <c r="N1227" s="3175" t="s">
        <v>4187</v>
      </c>
      <c r="O1227" s="3176">
        <v>26.98</v>
      </c>
      <c r="P1227" s="3176">
        <v>8.49</v>
      </c>
    </row>
    <row r="1228" spans="1:16" ht="15" thickBot="1">
      <c r="A1228" s="3174">
        <v>1226</v>
      </c>
      <c r="B1228" s="3175" t="s">
        <v>4668</v>
      </c>
      <c r="C1228" s="3176">
        <v>89.07</v>
      </c>
      <c r="D1228" s="3176">
        <v>28.04</v>
      </c>
      <c r="F1228" s="3177">
        <v>1226</v>
      </c>
      <c r="G1228" s="3175" t="s">
        <v>4664</v>
      </c>
      <c r="H1228" s="3178">
        <v>-1005</v>
      </c>
      <c r="I1228" s="3179">
        <v>9.17</v>
      </c>
      <c r="J1228" s="3179">
        <v>2.89</v>
      </c>
      <c r="L1228" s="3177">
        <v>1226</v>
      </c>
      <c r="M1228" s="3175">
        <v>-10440</v>
      </c>
      <c r="N1228" s="3175" t="s">
        <v>4187</v>
      </c>
      <c r="O1228" s="3176">
        <v>26.98</v>
      </c>
      <c r="P1228" s="3176">
        <v>8.49</v>
      </c>
    </row>
    <row r="1229" spans="1:16" ht="15" thickBot="1">
      <c r="A1229" s="3174">
        <v>1227</v>
      </c>
      <c r="B1229" s="3175" t="s">
        <v>4669</v>
      </c>
      <c r="C1229" s="3176">
        <v>89.07</v>
      </c>
      <c r="D1229" s="3176">
        <v>28.04</v>
      </c>
      <c r="F1229" s="3177">
        <v>1227</v>
      </c>
      <c r="G1229" s="3175" t="s">
        <v>4664</v>
      </c>
      <c r="H1229" s="3178">
        <v>-1006</v>
      </c>
      <c r="I1229" s="3179">
        <v>8.93</v>
      </c>
      <c r="J1229" s="3179">
        <v>2.81</v>
      </c>
      <c r="L1229" s="3177">
        <v>1227</v>
      </c>
      <c r="M1229" s="3175">
        <v>-10441</v>
      </c>
      <c r="N1229" s="3175" t="s">
        <v>4187</v>
      </c>
      <c r="O1229" s="3176">
        <v>26.98</v>
      </c>
      <c r="P1229" s="3176">
        <v>8.49</v>
      </c>
    </row>
    <row r="1230" spans="1:16" ht="15" thickBot="1">
      <c r="A1230" s="3174">
        <v>1228</v>
      </c>
      <c r="B1230" s="3175" t="s">
        <v>4670</v>
      </c>
      <c r="C1230" s="3176">
        <v>89.35</v>
      </c>
      <c r="D1230" s="3176">
        <v>28.13</v>
      </c>
      <c r="F1230" s="3177">
        <v>1228</v>
      </c>
      <c r="G1230" s="3175" t="s">
        <v>4664</v>
      </c>
      <c r="H1230" s="3178">
        <v>-1007</v>
      </c>
      <c r="I1230" s="3179">
        <v>11.96</v>
      </c>
      <c r="J1230" s="3179">
        <v>3.77</v>
      </c>
      <c r="L1230" s="3177">
        <v>1228</v>
      </c>
      <c r="M1230" s="3175">
        <v>-10442</v>
      </c>
      <c r="N1230" s="3175" t="s">
        <v>4187</v>
      </c>
      <c r="O1230" s="3176">
        <v>26.98</v>
      </c>
      <c r="P1230" s="3176">
        <v>8.49</v>
      </c>
    </row>
    <row r="1231" spans="1:16" ht="15" thickBot="1">
      <c r="A1231" s="3174">
        <v>1229</v>
      </c>
      <c r="B1231" s="3175" t="s">
        <v>4671</v>
      </c>
      <c r="C1231" s="3176">
        <v>112.57</v>
      </c>
      <c r="D1231" s="3176">
        <v>35.44</v>
      </c>
      <c r="F1231" s="3177">
        <v>1229</v>
      </c>
      <c r="G1231" s="3175" t="s">
        <v>4664</v>
      </c>
      <c r="H1231" s="3178">
        <v>-1008</v>
      </c>
      <c r="I1231" s="3179">
        <v>14.02</v>
      </c>
      <c r="J1231" s="3179">
        <v>4.41</v>
      </c>
      <c r="L1231" s="3177">
        <v>1229</v>
      </c>
      <c r="M1231" s="3175">
        <v>-10443</v>
      </c>
      <c r="N1231" s="3175" t="s">
        <v>4187</v>
      </c>
      <c r="O1231" s="3176">
        <v>26.98</v>
      </c>
      <c r="P1231" s="3176">
        <v>8.49</v>
      </c>
    </row>
    <row r="1232" spans="1:16" ht="15" thickBot="1">
      <c r="A1232" s="3174">
        <v>1230</v>
      </c>
      <c r="B1232" s="3175" t="s">
        <v>4672</v>
      </c>
      <c r="C1232" s="3176">
        <v>89.07</v>
      </c>
      <c r="D1232" s="3176">
        <v>28.04</v>
      </c>
      <c r="F1232" s="3177">
        <v>1230</v>
      </c>
      <c r="G1232" s="3175" t="s">
        <v>4664</v>
      </c>
      <c r="H1232" s="3178">
        <v>-1009</v>
      </c>
      <c r="I1232" s="3179">
        <v>14.44</v>
      </c>
      <c r="J1232" s="3179">
        <v>4.55</v>
      </c>
      <c r="L1232" s="3177">
        <v>1230</v>
      </c>
      <c r="M1232" s="3175">
        <v>-10444</v>
      </c>
      <c r="N1232" s="3175" t="s">
        <v>4187</v>
      </c>
      <c r="O1232" s="3176">
        <v>26.98</v>
      </c>
      <c r="P1232" s="3176">
        <v>8.49</v>
      </c>
    </row>
    <row r="1233" spans="1:16" ht="15" thickBot="1">
      <c r="A1233" s="3174">
        <v>1231</v>
      </c>
      <c r="B1233" s="3175" t="s">
        <v>4673</v>
      </c>
      <c r="C1233" s="3176">
        <v>89.07</v>
      </c>
      <c r="D1233" s="3176">
        <v>28.04</v>
      </c>
      <c r="F1233" s="3177">
        <v>1231</v>
      </c>
      <c r="G1233" s="3175" t="s">
        <v>4664</v>
      </c>
      <c r="H1233" s="3178">
        <v>-1010</v>
      </c>
      <c r="I1233" s="3179">
        <v>13.62</v>
      </c>
      <c r="J1233" s="3179">
        <v>4.29</v>
      </c>
      <c r="L1233" s="3177">
        <v>1231</v>
      </c>
      <c r="M1233" s="3175">
        <v>-10445</v>
      </c>
      <c r="N1233" s="3175" t="s">
        <v>4187</v>
      </c>
      <c r="O1233" s="3176">
        <v>26.98</v>
      </c>
      <c r="P1233" s="3176">
        <v>8.49</v>
      </c>
    </row>
    <row r="1234" spans="1:16" ht="15" thickBot="1">
      <c r="A1234" s="3174">
        <v>1232</v>
      </c>
      <c r="B1234" s="3175" t="s">
        <v>4674</v>
      </c>
      <c r="C1234" s="3176">
        <v>89.35</v>
      </c>
      <c r="D1234" s="3176">
        <v>28.13</v>
      </c>
      <c r="F1234" s="3177">
        <v>1232</v>
      </c>
      <c r="G1234" s="3175" t="s">
        <v>4664</v>
      </c>
      <c r="H1234" s="3178">
        <v>-1011</v>
      </c>
      <c r="I1234" s="3179">
        <v>13.62</v>
      </c>
      <c r="J1234" s="3179">
        <v>4.29</v>
      </c>
      <c r="L1234" s="3177">
        <v>1232</v>
      </c>
      <c r="M1234" s="3175">
        <v>-10446</v>
      </c>
      <c r="N1234" s="3175" t="s">
        <v>4187</v>
      </c>
      <c r="O1234" s="3176">
        <v>26.98</v>
      </c>
      <c r="P1234" s="3176">
        <v>8.49</v>
      </c>
    </row>
    <row r="1235" spans="1:16" ht="15" thickBot="1">
      <c r="A1235" s="3174">
        <v>1233</v>
      </c>
      <c r="B1235" s="3175" t="s">
        <v>4675</v>
      </c>
      <c r="C1235" s="3176">
        <v>112.57</v>
      </c>
      <c r="D1235" s="3176">
        <v>35.44</v>
      </c>
      <c r="F1235" s="3177">
        <v>1233</v>
      </c>
      <c r="G1235" s="3175" t="s">
        <v>4664</v>
      </c>
      <c r="H1235" s="3178">
        <v>-1012</v>
      </c>
      <c r="I1235" s="3179">
        <v>12.27</v>
      </c>
      <c r="J1235" s="3179">
        <v>3.86</v>
      </c>
      <c r="L1235" s="3177">
        <v>1233</v>
      </c>
      <c r="M1235" s="3175">
        <v>-10447</v>
      </c>
      <c r="N1235" s="3175" t="s">
        <v>4187</v>
      </c>
      <c r="O1235" s="3176">
        <v>26.98</v>
      </c>
      <c r="P1235" s="3176">
        <v>8.49</v>
      </c>
    </row>
    <row r="1236" spans="1:16" ht="15" thickBot="1">
      <c r="A1236" s="3174">
        <v>1234</v>
      </c>
      <c r="B1236" s="3175" t="s">
        <v>4676</v>
      </c>
      <c r="C1236" s="3176">
        <v>89.07</v>
      </c>
      <c r="D1236" s="3176">
        <v>28.04</v>
      </c>
      <c r="F1236" s="3177">
        <v>1234</v>
      </c>
      <c r="G1236" s="3175" t="s">
        <v>4664</v>
      </c>
      <c r="H1236" s="3178">
        <v>-1013</v>
      </c>
      <c r="I1236" s="3179">
        <v>12.27</v>
      </c>
      <c r="J1236" s="3179">
        <v>3.86</v>
      </c>
      <c r="L1236" s="3177">
        <v>1234</v>
      </c>
      <c r="M1236" s="3175">
        <v>-10448</v>
      </c>
      <c r="N1236" s="3175" t="s">
        <v>4187</v>
      </c>
      <c r="O1236" s="3176">
        <v>26.98</v>
      </c>
      <c r="P1236" s="3176">
        <v>8.49</v>
      </c>
    </row>
    <row r="1237" spans="1:16" ht="15" thickBot="1">
      <c r="A1237" s="3174">
        <v>1235</v>
      </c>
      <c r="B1237" s="3175" t="s">
        <v>4677</v>
      </c>
      <c r="C1237" s="3176">
        <v>89.07</v>
      </c>
      <c r="D1237" s="3176">
        <v>28.04</v>
      </c>
      <c r="F1237" s="3177">
        <v>1235</v>
      </c>
      <c r="G1237" s="3175" t="s">
        <v>4664</v>
      </c>
      <c r="H1237" s="3178">
        <v>-1014</v>
      </c>
      <c r="I1237" s="3179">
        <v>13.62</v>
      </c>
      <c r="J1237" s="3179">
        <v>4.29</v>
      </c>
      <c r="L1237" s="3177">
        <v>1235</v>
      </c>
      <c r="M1237" s="3175">
        <v>-10449</v>
      </c>
      <c r="N1237" s="3175" t="s">
        <v>4187</v>
      </c>
      <c r="O1237" s="3176">
        <v>26.98</v>
      </c>
      <c r="P1237" s="3176">
        <v>8.49</v>
      </c>
    </row>
    <row r="1238" spans="1:16" ht="15" thickBot="1">
      <c r="A1238" s="3174">
        <v>1236</v>
      </c>
      <c r="B1238" s="3175" t="s">
        <v>4678</v>
      </c>
      <c r="C1238" s="3176">
        <v>89.35</v>
      </c>
      <c r="D1238" s="3176">
        <v>28.13</v>
      </c>
      <c r="F1238" s="3177">
        <v>1236</v>
      </c>
      <c r="G1238" s="3175" t="s">
        <v>4664</v>
      </c>
      <c r="H1238" s="3178">
        <v>-1015</v>
      </c>
      <c r="I1238" s="3179">
        <v>13.62</v>
      </c>
      <c r="J1238" s="3179">
        <v>4.29</v>
      </c>
      <c r="L1238" s="3177">
        <v>1236</v>
      </c>
      <c r="M1238" s="3175">
        <v>-10450</v>
      </c>
      <c r="N1238" s="3175" t="s">
        <v>4187</v>
      </c>
      <c r="O1238" s="3176">
        <v>26.98</v>
      </c>
      <c r="P1238" s="3176">
        <v>8.49</v>
      </c>
    </row>
    <row r="1239" spans="1:16" ht="15" thickBot="1">
      <c r="A1239" s="3174">
        <v>1237</v>
      </c>
      <c r="B1239" s="3175" t="s">
        <v>4679</v>
      </c>
      <c r="C1239" s="3176">
        <v>112.57</v>
      </c>
      <c r="D1239" s="3176">
        <v>35.44</v>
      </c>
      <c r="F1239" s="3177">
        <v>1237</v>
      </c>
      <c r="G1239" s="3175" t="s">
        <v>4664</v>
      </c>
      <c r="H1239" s="3178">
        <v>-1016</v>
      </c>
      <c r="I1239" s="3179">
        <v>16.5</v>
      </c>
      <c r="J1239" s="3179">
        <v>5.19</v>
      </c>
      <c r="L1239" s="3177">
        <v>1237</v>
      </c>
      <c r="M1239" s="3175">
        <v>-10451</v>
      </c>
      <c r="N1239" s="3175" t="s">
        <v>4187</v>
      </c>
      <c r="O1239" s="3176">
        <v>26.98</v>
      </c>
      <c r="P1239" s="3176">
        <v>8.49</v>
      </c>
    </row>
    <row r="1240" spans="1:16" ht="15" thickBot="1">
      <c r="A1240" s="3174">
        <v>1238</v>
      </c>
      <c r="B1240" s="3175" t="s">
        <v>4680</v>
      </c>
      <c r="C1240" s="3176">
        <v>89.07</v>
      </c>
      <c r="D1240" s="3176">
        <v>28.04</v>
      </c>
      <c r="F1240" s="3177">
        <v>1238</v>
      </c>
      <c r="G1240" s="3175" t="s">
        <v>4664</v>
      </c>
      <c r="H1240" s="3178">
        <v>-1017</v>
      </c>
      <c r="I1240" s="3179">
        <v>12.43</v>
      </c>
      <c r="J1240" s="3179">
        <v>3.91</v>
      </c>
      <c r="L1240" s="3177">
        <v>1238</v>
      </c>
      <c r="M1240" s="3175">
        <v>-10452</v>
      </c>
      <c r="N1240" s="3175" t="s">
        <v>4187</v>
      </c>
      <c r="O1240" s="3176">
        <v>26.98</v>
      </c>
      <c r="P1240" s="3176">
        <v>8.49</v>
      </c>
    </row>
    <row r="1241" spans="1:16" ht="15" thickBot="1">
      <c r="A1241" s="3174">
        <v>1239</v>
      </c>
      <c r="B1241" s="3175" t="s">
        <v>4681</v>
      </c>
      <c r="C1241" s="3176">
        <v>89.07</v>
      </c>
      <c r="D1241" s="3176">
        <v>28.04</v>
      </c>
      <c r="F1241" s="3177">
        <v>1239</v>
      </c>
      <c r="G1241" s="3175" t="s">
        <v>4664</v>
      </c>
      <c r="H1241" s="3178">
        <v>-1018</v>
      </c>
      <c r="I1241" s="3179">
        <v>10.96</v>
      </c>
      <c r="J1241" s="3179">
        <v>3.45</v>
      </c>
      <c r="L1241" s="3177">
        <v>1239</v>
      </c>
      <c r="M1241" s="3175">
        <v>-10453</v>
      </c>
      <c r="N1241" s="3175" t="s">
        <v>4187</v>
      </c>
      <c r="O1241" s="3176">
        <v>26.98</v>
      </c>
      <c r="P1241" s="3176">
        <v>8.49</v>
      </c>
    </row>
    <row r="1242" spans="1:16" ht="15" thickBot="1">
      <c r="A1242" s="3174">
        <v>1240</v>
      </c>
      <c r="B1242" s="3175" t="s">
        <v>4682</v>
      </c>
      <c r="C1242" s="3176">
        <v>89.35</v>
      </c>
      <c r="D1242" s="3176">
        <v>28.13</v>
      </c>
      <c r="F1242" s="3177">
        <v>1240</v>
      </c>
      <c r="G1242" s="3175" t="s">
        <v>4664</v>
      </c>
      <c r="H1242" s="3178">
        <v>-1019</v>
      </c>
      <c r="I1242" s="3179">
        <v>10.9</v>
      </c>
      <c r="J1242" s="3179">
        <v>3.43</v>
      </c>
      <c r="L1242" s="3177">
        <v>1240</v>
      </c>
      <c r="M1242" s="3175">
        <v>-10454</v>
      </c>
      <c r="N1242" s="3175" t="s">
        <v>4187</v>
      </c>
      <c r="O1242" s="3176">
        <v>26.98</v>
      </c>
      <c r="P1242" s="3176">
        <v>8.49</v>
      </c>
    </row>
    <row r="1243" spans="1:16" ht="15" thickBot="1">
      <c r="A1243" s="3174">
        <v>1241</v>
      </c>
      <c r="B1243" s="3175" t="s">
        <v>4683</v>
      </c>
      <c r="C1243" s="3176">
        <v>112.57</v>
      </c>
      <c r="D1243" s="3176">
        <v>35.44</v>
      </c>
      <c r="F1243" s="3177">
        <v>1241</v>
      </c>
      <c r="G1243" s="3175" t="s">
        <v>4664</v>
      </c>
      <c r="H1243" s="3178">
        <v>-1020</v>
      </c>
      <c r="I1243" s="3179">
        <v>11.23</v>
      </c>
      <c r="J1243" s="3179">
        <v>3.54</v>
      </c>
      <c r="L1243" s="3177">
        <v>1241</v>
      </c>
      <c r="M1243" s="3175">
        <v>-10455</v>
      </c>
      <c r="N1243" s="3175" t="s">
        <v>4187</v>
      </c>
      <c r="O1243" s="3176">
        <v>26.98</v>
      </c>
      <c r="P1243" s="3176">
        <v>8.49</v>
      </c>
    </row>
    <row r="1244" spans="1:16" ht="15" thickBot="1">
      <c r="A1244" s="3174">
        <v>1242</v>
      </c>
      <c r="B1244" s="3175" t="s">
        <v>4684</v>
      </c>
      <c r="C1244" s="3176">
        <v>89.07</v>
      </c>
      <c r="D1244" s="3176">
        <v>28.04</v>
      </c>
      <c r="F1244" s="3177">
        <v>1242</v>
      </c>
      <c r="G1244" s="3175" t="s">
        <v>4664</v>
      </c>
      <c r="H1244" s="3178">
        <v>-1021</v>
      </c>
      <c r="I1244" s="3179">
        <v>14.33</v>
      </c>
      <c r="J1244" s="3179">
        <v>4.51</v>
      </c>
      <c r="L1244" s="3177">
        <v>1242</v>
      </c>
      <c r="M1244" s="3175">
        <v>-10456</v>
      </c>
      <c r="N1244" s="3175" t="s">
        <v>4187</v>
      </c>
      <c r="O1244" s="3176">
        <v>26.98</v>
      </c>
      <c r="P1244" s="3176">
        <v>8.49</v>
      </c>
    </row>
    <row r="1245" spans="1:16" ht="15" thickBot="1">
      <c r="A1245" s="3174">
        <v>1243</v>
      </c>
      <c r="B1245" s="3175" t="s">
        <v>4685</v>
      </c>
      <c r="C1245" s="3176">
        <v>89.07</v>
      </c>
      <c r="D1245" s="3176">
        <v>28.04</v>
      </c>
      <c r="F1245" s="3177">
        <v>1243</v>
      </c>
      <c r="G1245" s="3175" t="s">
        <v>4664</v>
      </c>
      <c r="H1245" s="3178">
        <v>-1022</v>
      </c>
      <c r="I1245" s="3179">
        <v>19.43</v>
      </c>
      <c r="J1245" s="3179">
        <v>6.12</v>
      </c>
      <c r="L1245" s="3177">
        <v>1243</v>
      </c>
      <c r="M1245" s="3175">
        <v>-10457</v>
      </c>
      <c r="N1245" s="3175" t="s">
        <v>4187</v>
      </c>
      <c r="O1245" s="3176">
        <v>26.98</v>
      </c>
      <c r="P1245" s="3176">
        <v>8.49</v>
      </c>
    </row>
    <row r="1246" spans="1:16" ht="15" thickBot="1">
      <c r="A1246" s="3174">
        <v>1244</v>
      </c>
      <c r="B1246" s="3175" t="s">
        <v>4686</v>
      </c>
      <c r="C1246" s="3176">
        <v>89.35</v>
      </c>
      <c r="D1246" s="3176">
        <v>28.13</v>
      </c>
      <c r="F1246" s="3177">
        <v>1244</v>
      </c>
      <c r="G1246" s="3175" t="s">
        <v>4664</v>
      </c>
      <c r="H1246" s="3178">
        <v>-1023</v>
      </c>
      <c r="I1246" s="3179">
        <v>9.17</v>
      </c>
      <c r="J1246" s="3179">
        <v>2.89</v>
      </c>
      <c r="L1246" s="3177">
        <v>1244</v>
      </c>
      <c r="M1246" s="3175">
        <v>-10458</v>
      </c>
      <c r="N1246" s="3175" t="s">
        <v>4187</v>
      </c>
      <c r="O1246" s="3176">
        <v>26.98</v>
      </c>
      <c r="P1246" s="3176">
        <v>8.49</v>
      </c>
    </row>
    <row r="1247" spans="1:16" ht="15" thickBot="1">
      <c r="A1247" s="3174">
        <v>1245</v>
      </c>
      <c r="B1247" s="3175" t="s">
        <v>4687</v>
      </c>
      <c r="C1247" s="3176">
        <v>112.57</v>
      </c>
      <c r="D1247" s="3176">
        <v>35.44</v>
      </c>
      <c r="F1247" s="3177">
        <v>1245</v>
      </c>
      <c r="G1247" s="3175" t="s">
        <v>4664</v>
      </c>
      <c r="H1247" s="3178">
        <v>-1024</v>
      </c>
      <c r="I1247" s="3179">
        <v>8.93</v>
      </c>
      <c r="J1247" s="3179">
        <v>2.81</v>
      </c>
      <c r="L1247" s="3177">
        <v>1245</v>
      </c>
      <c r="M1247" s="3175">
        <v>-10459</v>
      </c>
      <c r="N1247" s="3175" t="s">
        <v>4187</v>
      </c>
      <c r="O1247" s="3176">
        <v>26.98</v>
      </c>
      <c r="P1247" s="3176">
        <v>8.49</v>
      </c>
    </row>
    <row r="1248" spans="1:16" ht="15" thickBot="1">
      <c r="A1248" s="3174">
        <v>1246</v>
      </c>
      <c r="B1248" s="3175" t="s">
        <v>4688</v>
      </c>
      <c r="C1248" s="3176">
        <v>89.07</v>
      </c>
      <c r="D1248" s="3176">
        <v>28.04</v>
      </c>
      <c r="F1248" s="3177">
        <v>1246</v>
      </c>
      <c r="G1248" s="3175" t="s">
        <v>4664</v>
      </c>
      <c r="H1248" s="3178">
        <v>-1025</v>
      </c>
      <c r="I1248" s="3179">
        <v>10.65</v>
      </c>
      <c r="J1248" s="3179">
        <v>3.35</v>
      </c>
      <c r="L1248" s="3177">
        <v>1246</v>
      </c>
      <c r="M1248" s="3175">
        <v>-10460</v>
      </c>
      <c r="N1248" s="3175" t="s">
        <v>4187</v>
      </c>
      <c r="O1248" s="3176">
        <v>26.98</v>
      </c>
      <c r="P1248" s="3176">
        <v>8.49</v>
      </c>
    </row>
    <row r="1249" spans="1:16" ht="15" thickBot="1">
      <c r="A1249" s="3174">
        <v>1247</v>
      </c>
      <c r="B1249" s="3175" t="s">
        <v>4689</v>
      </c>
      <c r="C1249" s="3176">
        <v>89.07</v>
      </c>
      <c r="D1249" s="3176">
        <v>28.04</v>
      </c>
      <c r="F1249" s="3177">
        <v>1247</v>
      </c>
      <c r="G1249" s="3175" t="s">
        <v>4664</v>
      </c>
      <c r="H1249" s="3178">
        <v>-1026</v>
      </c>
      <c r="I1249" s="3179">
        <v>10.37</v>
      </c>
      <c r="J1249" s="3179">
        <v>3.26</v>
      </c>
      <c r="L1249" s="3177">
        <v>1247</v>
      </c>
      <c r="M1249" s="3175">
        <v>-10461</v>
      </c>
      <c r="N1249" s="3175" t="s">
        <v>4187</v>
      </c>
      <c r="O1249" s="3176">
        <v>26.98</v>
      </c>
      <c r="P1249" s="3176">
        <v>8.49</v>
      </c>
    </row>
    <row r="1250" spans="1:16" ht="15" thickBot="1">
      <c r="A1250" s="3174">
        <v>1248</v>
      </c>
      <c r="B1250" s="3175" t="s">
        <v>4690</v>
      </c>
      <c r="C1250" s="3176">
        <v>89.35</v>
      </c>
      <c r="D1250" s="3176">
        <v>28.13</v>
      </c>
      <c r="F1250" s="3177">
        <v>1248</v>
      </c>
      <c r="G1250" s="3175" t="s">
        <v>4664</v>
      </c>
      <c r="H1250" s="3178">
        <v>-1027</v>
      </c>
      <c r="I1250" s="3179">
        <v>10.96</v>
      </c>
      <c r="J1250" s="3179">
        <v>3.45</v>
      </c>
      <c r="L1250" s="3177">
        <v>1248</v>
      </c>
      <c r="M1250" s="3175">
        <v>-10462</v>
      </c>
      <c r="N1250" s="3175" t="s">
        <v>4187</v>
      </c>
      <c r="O1250" s="3176">
        <v>26.98</v>
      </c>
      <c r="P1250" s="3176">
        <v>8.49</v>
      </c>
    </row>
    <row r="1251" spans="1:16" ht="15" thickBot="1">
      <c r="A1251" s="3174">
        <v>1249</v>
      </c>
      <c r="B1251" s="3175" t="s">
        <v>4691</v>
      </c>
      <c r="C1251" s="3176">
        <v>112.57</v>
      </c>
      <c r="D1251" s="3176">
        <v>35.44</v>
      </c>
      <c r="F1251" s="3177">
        <v>1249</v>
      </c>
      <c r="G1251" s="3175" t="s">
        <v>4664</v>
      </c>
      <c r="H1251" s="3178">
        <v>-1028</v>
      </c>
      <c r="I1251" s="3179">
        <v>14</v>
      </c>
      <c r="J1251" s="3179">
        <v>4.41</v>
      </c>
      <c r="L1251" s="3177">
        <v>1249</v>
      </c>
      <c r="M1251" s="3175">
        <v>-10463</v>
      </c>
      <c r="N1251" s="3175" t="s">
        <v>4187</v>
      </c>
      <c r="O1251" s="3176">
        <v>26.98</v>
      </c>
      <c r="P1251" s="3176">
        <v>8.49</v>
      </c>
    </row>
    <row r="1252" spans="1:16" ht="15" thickBot="1">
      <c r="A1252" s="3174">
        <v>1250</v>
      </c>
      <c r="B1252" s="3175" t="s">
        <v>4692</v>
      </c>
      <c r="C1252" s="3176">
        <v>89.07</v>
      </c>
      <c r="D1252" s="3176">
        <v>28.04</v>
      </c>
      <c r="F1252" s="3177">
        <v>1250</v>
      </c>
      <c r="G1252" s="3175" t="s">
        <v>4664</v>
      </c>
      <c r="H1252" s="3178">
        <v>-1029</v>
      </c>
      <c r="I1252" s="3179">
        <v>8.6199999999999992</v>
      </c>
      <c r="J1252" s="3179">
        <v>2.71</v>
      </c>
      <c r="L1252" s="3177">
        <v>1250</v>
      </c>
      <c r="M1252" s="3175">
        <v>-10464</v>
      </c>
      <c r="N1252" s="3175" t="s">
        <v>4187</v>
      </c>
      <c r="O1252" s="3176">
        <v>26.98</v>
      </c>
      <c r="P1252" s="3176">
        <v>8.49</v>
      </c>
    </row>
    <row r="1253" spans="1:16" ht="15" thickBot="1">
      <c r="A1253" s="3174">
        <v>1251</v>
      </c>
      <c r="B1253" s="3175" t="s">
        <v>4693</v>
      </c>
      <c r="C1253" s="3176">
        <v>89.07</v>
      </c>
      <c r="D1253" s="3176">
        <v>28.04</v>
      </c>
      <c r="F1253" s="3177">
        <v>1251</v>
      </c>
      <c r="G1253" s="3175" t="s">
        <v>4664</v>
      </c>
      <c r="H1253" s="3178">
        <v>-1030</v>
      </c>
      <c r="I1253" s="3179">
        <v>8.6199999999999992</v>
      </c>
      <c r="J1253" s="3179">
        <v>2.71</v>
      </c>
      <c r="L1253" s="3177">
        <v>1251</v>
      </c>
      <c r="M1253" s="3175">
        <v>-10465</v>
      </c>
      <c r="N1253" s="3175" t="s">
        <v>4187</v>
      </c>
      <c r="O1253" s="3176">
        <v>26.98</v>
      </c>
      <c r="P1253" s="3176">
        <v>8.49</v>
      </c>
    </row>
    <row r="1254" spans="1:16" ht="15" thickBot="1">
      <c r="A1254" s="3174">
        <v>1252</v>
      </c>
      <c r="B1254" s="3175" t="s">
        <v>4694</v>
      </c>
      <c r="C1254" s="3176">
        <v>89.35</v>
      </c>
      <c r="D1254" s="3176">
        <v>28.13</v>
      </c>
      <c r="F1254" s="3177">
        <v>1252</v>
      </c>
      <c r="G1254" s="3175" t="s">
        <v>4664</v>
      </c>
      <c r="H1254" s="3178">
        <v>-1031</v>
      </c>
      <c r="I1254" s="3179">
        <v>8.6199999999999992</v>
      </c>
      <c r="J1254" s="3179">
        <v>2.71</v>
      </c>
      <c r="L1254" s="3177">
        <v>1252</v>
      </c>
      <c r="M1254" s="3175">
        <v>-10466</v>
      </c>
      <c r="N1254" s="3175" t="s">
        <v>4187</v>
      </c>
      <c r="O1254" s="3176">
        <v>26.98</v>
      </c>
      <c r="P1254" s="3176">
        <v>8.49</v>
      </c>
    </row>
    <row r="1255" spans="1:16" ht="15" thickBot="1">
      <c r="A1255" s="3174">
        <v>1253</v>
      </c>
      <c r="B1255" s="3175" t="s">
        <v>4695</v>
      </c>
      <c r="C1255" s="3176">
        <v>89.2</v>
      </c>
      <c r="D1255" s="3176">
        <v>28.08</v>
      </c>
      <c r="F1255" s="3177">
        <v>1253</v>
      </c>
      <c r="G1255" s="3175" t="s">
        <v>4664</v>
      </c>
      <c r="H1255" s="3178">
        <v>-1032</v>
      </c>
      <c r="I1255" s="3179">
        <v>8.6199999999999992</v>
      </c>
      <c r="J1255" s="3179">
        <v>2.71</v>
      </c>
      <c r="L1255" s="3177">
        <v>1253</v>
      </c>
      <c r="M1255" s="3175">
        <v>-10467</v>
      </c>
      <c r="N1255" s="3175" t="s">
        <v>4187</v>
      </c>
      <c r="O1255" s="3176">
        <v>26.98</v>
      </c>
      <c r="P1255" s="3176">
        <v>8.49</v>
      </c>
    </row>
    <row r="1256" spans="1:16" ht="15" thickBot="1">
      <c r="A1256" s="3174">
        <v>1254</v>
      </c>
      <c r="B1256" s="3175" t="s">
        <v>4696</v>
      </c>
      <c r="C1256" s="3176">
        <v>88.92</v>
      </c>
      <c r="D1256" s="3176">
        <v>28</v>
      </c>
      <c r="F1256" s="3177">
        <v>1254</v>
      </c>
      <c r="G1256" s="3175" t="s">
        <v>4664</v>
      </c>
      <c r="H1256" s="3178">
        <v>-1033</v>
      </c>
      <c r="I1256" s="3179">
        <v>12.21</v>
      </c>
      <c r="J1256" s="3179">
        <v>3.84</v>
      </c>
      <c r="L1256" s="3177">
        <v>1254</v>
      </c>
      <c r="M1256" s="3175">
        <v>-10468</v>
      </c>
      <c r="N1256" s="3175" t="s">
        <v>4187</v>
      </c>
      <c r="O1256" s="3176">
        <v>26.98</v>
      </c>
      <c r="P1256" s="3176">
        <v>8.49</v>
      </c>
    </row>
    <row r="1257" spans="1:16" ht="15" thickBot="1">
      <c r="A1257" s="3174">
        <v>1255</v>
      </c>
      <c r="B1257" s="3175" t="s">
        <v>4697</v>
      </c>
      <c r="C1257" s="3176">
        <v>88.92</v>
      </c>
      <c r="D1257" s="3176">
        <v>28</v>
      </c>
      <c r="F1257" s="3177">
        <v>1255</v>
      </c>
      <c r="G1257" s="3175" t="s">
        <v>4664</v>
      </c>
      <c r="H1257" s="3178">
        <v>-1034</v>
      </c>
      <c r="I1257" s="3179">
        <v>12.01</v>
      </c>
      <c r="J1257" s="3179">
        <v>3.78</v>
      </c>
      <c r="L1257" s="3177">
        <v>1255</v>
      </c>
      <c r="M1257" s="3175">
        <v>-10469</v>
      </c>
      <c r="N1257" s="3175" t="s">
        <v>4187</v>
      </c>
      <c r="O1257" s="3176">
        <v>26.98</v>
      </c>
      <c r="P1257" s="3176">
        <v>8.49</v>
      </c>
    </row>
    <row r="1258" spans="1:16" ht="15" thickBot="1">
      <c r="A1258" s="3174">
        <v>1256</v>
      </c>
      <c r="B1258" s="3175" t="s">
        <v>4698</v>
      </c>
      <c r="C1258" s="3176">
        <v>112.53</v>
      </c>
      <c r="D1258" s="3176">
        <v>35.43</v>
      </c>
      <c r="F1258" s="3177">
        <v>1256</v>
      </c>
      <c r="G1258" s="3175" t="s">
        <v>4664</v>
      </c>
      <c r="H1258" s="3178">
        <v>-1035</v>
      </c>
      <c r="I1258" s="3179">
        <v>10.96</v>
      </c>
      <c r="J1258" s="3179">
        <v>3.45</v>
      </c>
      <c r="L1258" s="3177">
        <v>1256</v>
      </c>
      <c r="M1258" s="3175">
        <v>-10470</v>
      </c>
      <c r="N1258" s="3175" t="s">
        <v>4187</v>
      </c>
      <c r="O1258" s="3176">
        <v>26.98</v>
      </c>
      <c r="P1258" s="3176">
        <v>8.49</v>
      </c>
    </row>
    <row r="1259" spans="1:16" ht="15" thickBot="1">
      <c r="A1259" s="3174">
        <v>1257</v>
      </c>
      <c r="B1259" s="3175" t="s">
        <v>4699</v>
      </c>
      <c r="C1259" s="3176">
        <v>89.2</v>
      </c>
      <c r="D1259" s="3176">
        <v>28.08</v>
      </c>
      <c r="F1259" s="3177">
        <v>1257</v>
      </c>
      <c r="G1259" s="3175" t="s">
        <v>4664</v>
      </c>
      <c r="H1259" s="3178">
        <v>-1036</v>
      </c>
      <c r="I1259" s="3179">
        <v>10.37</v>
      </c>
      <c r="J1259" s="3179">
        <v>3.26</v>
      </c>
      <c r="L1259" s="3177">
        <v>1257</v>
      </c>
      <c r="M1259" s="3175">
        <v>-10471</v>
      </c>
      <c r="N1259" s="3175" t="s">
        <v>4187</v>
      </c>
      <c r="O1259" s="3176">
        <v>26.98</v>
      </c>
      <c r="P1259" s="3176">
        <v>8.49</v>
      </c>
    </row>
    <row r="1260" spans="1:16" ht="15" thickBot="1">
      <c r="A1260" s="3174">
        <v>1258</v>
      </c>
      <c r="B1260" s="3175" t="s">
        <v>4700</v>
      </c>
      <c r="C1260" s="3176">
        <v>88.92</v>
      </c>
      <c r="D1260" s="3176">
        <v>28</v>
      </c>
      <c r="F1260" s="3177">
        <v>1258</v>
      </c>
      <c r="G1260" s="3175" t="s">
        <v>4664</v>
      </c>
      <c r="H1260" s="3178">
        <v>-1037</v>
      </c>
      <c r="I1260" s="3179">
        <v>10.65</v>
      </c>
      <c r="J1260" s="3179">
        <v>3.35</v>
      </c>
      <c r="L1260" s="3177">
        <v>1258</v>
      </c>
      <c r="M1260" s="3175">
        <v>-10472</v>
      </c>
      <c r="N1260" s="3175" t="s">
        <v>4187</v>
      </c>
      <c r="O1260" s="3176">
        <v>26.98</v>
      </c>
      <c r="P1260" s="3176">
        <v>8.49</v>
      </c>
    </row>
    <row r="1261" spans="1:16" ht="15" thickBot="1">
      <c r="A1261" s="3174">
        <v>1259</v>
      </c>
      <c r="B1261" s="3175" t="s">
        <v>4701</v>
      </c>
      <c r="C1261" s="3176">
        <v>88.92</v>
      </c>
      <c r="D1261" s="3176">
        <v>28</v>
      </c>
      <c r="F1261" s="3177">
        <v>1259</v>
      </c>
      <c r="G1261" s="3175" t="s">
        <v>4664</v>
      </c>
      <c r="H1261" s="3178">
        <v>-1038</v>
      </c>
      <c r="I1261" s="3179">
        <v>15.26</v>
      </c>
      <c r="J1261" s="3179">
        <v>4.8</v>
      </c>
      <c r="L1261" s="3177">
        <v>1259</v>
      </c>
      <c r="M1261" s="3175">
        <v>-10473</v>
      </c>
      <c r="N1261" s="3175" t="s">
        <v>4187</v>
      </c>
      <c r="O1261" s="3176">
        <v>26.98</v>
      </c>
      <c r="P1261" s="3176">
        <v>8.49</v>
      </c>
    </row>
    <row r="1262" spans="1:16" ht="15" thickBot="1">
      <c r="A1262" s="3174">
        <v>1260</v>
      </c>
      <c r="B1262" s="3175" t="s">
        <v>4702</v>
      </c>
      <c r="C1262" s="3176">
        <v>112.53</v>
      </c>
      <c r="D1262" s="3176">
        <v>35.43</v>
      </c>
      <c r="F1262" s="3177">
        <v>1260</v>
      </c>
      <c r="G1262" s="3175" t="s">
        <v>4664</v>
      </c>
      <c r="H1262" s="3178">
        <v>-1039</v>
      </c>
      <c r="I1262" s="3179">
        <v>15.26</v>
      </c>
      <c r="J1262" s="3179">
        <v>4.8</v>
      </c>
      <c r="L1262" s="3177">
        <v>1260</v>
      </c>
      <c r="M1262" s="3175">
        <v>-10474</v>
      </c>
      <c r="N1262" s="3175" t="s">
        <v>4187</v>
      </c>
      <c r="O1262" s="3176">
        <v>26.98</v>
      </c>
      <c r="P1262" s="3176">
        <v>8.49</v>
      </c>
    </row>
    <row r="1263" spans="1:16" ht="15" thickBot="1">
      <c r="A1263" s="3174">
        <v>1261</v>
      </c>
      <c r="B1263" s="3175" t="s">
        <v>4703</v>
      </c>
      <c r="C1263" s="3176">
        <v>89.2</v>
      </c>
      <c r="D1263" s="3176">
        <v>28.08</v>
      </c>
      <c r="F1263" s="3177">
        <v>1261</v>
      </c>
      <c r="G1263" s="3175" t="s">
        <v>4664</v>
      </c>
      <c r="H1263" s="3178">
        <v>-1040</v>
      </c>
      <c r="I1263" s="3179">
        <v>15.26</v>
      </c>
      <c r="J1263" s="3179">
        <v>4.8</v>
      </c>
      <c r="L1263" s="3177">
        <v>1261</v>
      </c>
      <c r="M1263" s="3175">
        <v>-10475</v>
      </c>
      <c r="N1263" s="3175" t="s">
        <v>4187</v>
      </c>
      <c r="O1263" s="3176">
        <v>26.98</v>
      </c>
      <c r="P1263" s="3176">
        <v>8.49</v>
      </c>
    </row>
    <row r="1264" spans="1:16" ht="15" thickBot="1">
      <c r="A1264" s="3174">
        <v>1262</v>
      </c>
      <c r="B1264" s="3175" t="s">
        <v>4704</v>
      </c>
      <c r="C1264" s="3176">
        <v>88.92</v>
      </c>
      <c r="D1264" s="3176">
        <v>28</v>
      </c>
      <c r="F1264" s="3177">
        <v>1262</v>
      </c>
      <c r="G1264" s="3175" t="s">
        <v>4664</v>
      </c>
      <c r="H1264" s="3178">
        <v>-1041</v>
      </c>
      <c r="I1264" s="3179">
        <v>15.26</v>
      </c>
      <c r="J1264" s="3179">
        <v>4.8</v>
      </c>
      <c r="L1264" s="3177">
        <v>1262</v>
      </c>
      <c r="M1264" s="3175">
        <v>-10476</v>
      </c>
      <c r="N1264" s="3175" t="s">
        <v>4187</v>
      </c>
      <c r="O1264" s="3176">
        <v>26.98</v>
      </c>
      <c r="P1264" s="3176">
        <v>8.49</v>
      </c>
    </row>
    <row r="1265" spans="1:16" ht="15" thickBot="1">
      <c r="A1265" s="3174">
        <v>1263</v>
      </c>
      <c r="B1265" s="3175" t="s">
        <v>4705</v>
      </c>
      <c r="C1265" s="3176">
        <v>88.92</v>
      </c>
      <c r="D1265" s="3176">
        <v>28</v>
      </c>
      <c r="F1265" s="3177">
        <v>1263</v>
      </c>
      <c r="G1265" s="3175" t="s">
        <v>4664</v>
      </c>
      <c r="H1265" s="3178">
        <v>-1042</v>
      </c>
      <c r="I1265" s="3179">
        <v>10.65</v>
      </c>
      <c r="J1265" s="3179">
        <v>3.35</v>
      </c>
      <c r="L1265" s="3177">
        <v>1263</v>
      </c>
      <c r="M1265" s="3175">
        <v>-10477</v>
      </c>
      <c r="N1265" s="3175" t="s">
        <v>4187</v>
      </c>
      <c r="O1265" s="3176">
        <v>26.98</v>
      </c>
      <c r="P1265" s="3176">
        <v>8.49</v>
      </c>
    </row>
    <row r="1266" spans="1:16" ht="15" thickBot="1">
      <c r="A1266" s="3174">
        <v>1264</v>
      </c>
      <c r="B1266" s="3175" t="s">
        <v>4706</v>
      </c>
      <c r="C1266" s="3176">
        <v>112.53</v>
      </c>
      <c r="D1266" s="3176">
        <v>35.43</v>
      </c>
      <c r="F1266" s="3177">
        <v>1264</v>
      </c>
      <c r="G1266" s="3175" t="s">
        <v>4664</v>
      </c>
      <c r="H1266" s="3178">
        <v>-1043</v>
      </c>
      <c r="I1266" s="3179">
        <v>10.9</v>
      </c>
      <c r="J1266" s="3179">
        <v>3.43</v>
      </c>
      <c r="L1266" s="3177">
        <v>1264</v>
      </c>
      <c r="M1266" s="3175">
        <v>-10478</v>
      </c>
      <c r="N1266" s="3175" t="s">
        <v>4187</v>
      </c>
      <c r="O1266" s="3176">
        <v>26.98</v>
      </c>
      <c r="P1266" s="3176">
        <v>8.49</v>
      </c>
    </row>
    <row r="1267" spans="1:16" ht="15" thickBot="1">
      <c r="A1267" s="3174">
        <v>1265</v>
      </c>
      <c r="B1267" s="3175" t="s">
        <v>4707</v>
      </c>
      <c r="C1267" s="3176">
        <v>89.2</v>
      </c>
      <c r="D1267" s="3176">
        <v>28.08</v>
      </c>
      <c r="F1267" s="3177">
        <v>1265</v>
      </c>
      <c r="G1267" s="3175" t="s">
        <v>4664</v>
      </c>
      <c r="H1267" s="3178">
        <v>-1044</v>
      </c>
      <c r="I1267" s="3179">
        <v>10.41</v>
      </c>
      <c r="J1267" s="3179">
        <v>3.28</v>
      </c>
      <c r="L1267" s="3177">
        <v>1265</v>
      </c>
      <c r="M1267" s="3175">
        <v>-10479</v>
      </c>
      <c r="N1267" s="3175" t="s">
        <v>4187</v>
      </c>
      <c r="O1267" s="3176">
        <v>26.98</v>
      </c>
      <c r="P1267" s="3176">
        <v>8.49</v>
      </c>
    </row>
    <row r="1268" spans="1:16" ht="15" thickBot="1">
      <c r="A1268" s="3174">
        <v>1266</v>
      </c>
      <c r="B1268" s="3175" t="s">
        <v>4708</v>
      </c>
      <c r="C1268" s="3176">
        <v>88.92</v>
      </c>
      <c r="D1268" s="3176">
        <v>28</v>
      </c>
      <c r="F1268" s="3177">
        <v>1266</v>
      </c>
      <c r="G1268" s="3175" t="s">
        <v>4664</v>
      </c>
      <c r="H1268" s="3178">
        <v>-1045</v>
      </c>
      <c r="I1268" s="3179">
        <v>12.01</v>
      </c>
      <c r="J1268" s="3179">
        <v>3.78</v>
      </c>
      <c r="L1268" s="3177">
        <v>1266</v>
      </c>
      <c r="M1268" s="3175">
        <v>-10480</v>
      </c>
      <c r="N1268" s="3175" t="s">
        <v>4187</v>
      </c>
      <c r="O1268" s="3176">
        <v>26.98</v>
      </c>
      <c r="P1268" s="3176">
        <v>8.49</v>
      </c>
    </row>
    <row r="1269" spans="1:16" ht="15" thickBot="1">
      <c r="A1269" s="3174">
        <v>1267</v>
      </c>
      <c r="B1269" s="3175" t="s">
        <v>4709</v>
      </c>
      <c r="C1269" s="3176">
        <v>88.92</v>
      </c>
      <c r="D1269" s="3176">
        <v>28</v>
      </c>
      <c r="F1269" s="3177">
        <v>1267</v>
      </c>
      <c r="G1269" s="3175" t="s">
        <v>4664</v>
      </c>
      <c r="H1269" s="3178">
        <v>-1046</v>
      </c>
      <c r="I1269" s="3179">
        <v>12.21</v>
      </c>
      <c r="J1269" s="3179">
        <v>3.84</v>
      </c>
      <c r="L1269" s="3177">
        <v>1267</v>
      </c>
      <c r="M1269" s="3175">
        <v>-10481</v>
      </c>
      <c r="N1269" s="3175" t="s">
        <v>4187</v>
      </c>
      <c r="O1269" s="3176">
        <v>26.98</v>
      </c>
      <c r="P1269" s="3176">
        <v>8.49</v>
      </c>
    </row>
    <row r="1270" spans="1:16" ht="15" thickBot="1">
      <c r="A1270" s="3174">
        <v>1268</v>
      </c>
      <c r="B1270" s="3175" t="s">
        <v>4710</v>
      </c>
      <c r="C1270" s="3176">
        <v>112.53</v>
      </c>
      <c r="D1270" s="3176">
        <v>35.43</v>
      </c>
      <c r="F1270" s="3177">
        <v>1268</v>
      </c>
      <c r="G1270" s="3175" t="s">
        <v>4664</v>
      </c>
      <c r="H1270" s="3178">
        <v>-1047</v>
      </c>
      <c r="I1270" s="3179">
        <v>8.6199999999999992</v>
      </c>
      <c r="J1270" s="3179">
        <v>2.71</v>
      </c>
      <c r="L1270" s="3177">
        <v>1268</v>
      </c>
      <c r="M1270" s="3175">
        <v>-10482</v>
      </c>
      <c r="N1270" s="3175" t="s">
        <v>4187</v>
      </c>
      <c r="O1270" s="3176">
        <v>26.98</v>
      </c>
      <c r="P1270" s="3176">
        <v>8.49</v>
      </c>
    </row>
    <row r="1271" spans="1:16" ht="15" thickBot="1">
      <c r="A1271" s="3174">
        <v>1269</v>
      </c>
      <c r="B1271" s="3175" t="s">
        <v>4711</v>
      </c>
      <c r="C1271" s="3176">
        <v>89.2</v>
      </c>
      <c r="D1271" s="3176">
        <v>28.08</v>
      </c>
      <c r="F1271" s="3177">
        <v>1269</v>
      </c>
      <c r="G1271" s="3175" t="s">
        <v>4664</v>
      </c>
      <c r="H1271" s="3178">
        <v>-1048</v>
      </c>
      <c r="I1271" s="3179">
        <v>8.6199999999999992</v>
      </c>
      <c r="J1271" s="3179">
        <v>2.71</v>
      </c>
      <c r="L1271" s="3177">
        <v>1269</v>
      </c>
      <c r="M1271" s="3175">
        <v>-10483</v>
      </c>
      <c r="N1271" s="3175" t="s">
        <v>4187</v>
      </c>
      <c r="O1271" s="3176">
        <v>26.98</v>
      </c>
      <c r="P1271" s="3176">
        <v>8.49</v>
      </c>
    </row>
    <row r="1272" spans="1:16" ht="15" thickBot="1">
      <c r="A1272" s="3174">
        <v>1270</v>
      </c>
      <c r="B1272" s="3175" t="s">
        <v>4712</v>
      </c>
      <c r="C1272" s="3176">
        <v>88.92</v>
      </c>
      <c r="D1272" s="3176">
        <v>28</v>
      </c>
      <c r="F1272" s="3177">
        <v>1270</v>
      </c>
      <c r="G1272" s="3175" t="s">
        <v>4664</v>
      </c>
      <c r="H1272" s="3178">
        <v>-1049</v>
      </c>
      <c r="I1272" s="3179">
        <v>8.6199999999999992</v>
      </c>
      <c r="J1272" s="3179">
        <v>2.71</v>
      </c>
      <c r="L1272" s="3177">
        <v>1270</v>
      </c>
      <c r="M1272" s="3175">
        <v>-10484</v>
      </c>
      <c r="N1272" s="3175" t="s">
        <v>4187</v>
      </c>
      <c r="O1272" s="3176">
        <v>26.98</v>
      </c>
      <c r="P1272" s="3176">
        <v>8.49</v>
      </c>
    </row>
    <row r="1273" spans="1:16" ht="15" thickBot="1">
      <c r="A1273" s="3174">
        <v>1271</v>
      </c>
      <c r="B1273" s="3175" t="s">
        <v>4713</v>
      </c>
      <c r="C1273" s="3176">
        <v>88.92</v>
      </c>
      <c r="D1273" s="3176">
        <v>28</v>
      </c>
      <c r="F1273" s="3177">
        <v>1271</v>
      </c>
      <c r="G1273" s="3175" t="s">
        <v>4664</v>
      </c>
      <c r="H1273" s="3178">
        <v>-1050</v>
      </c>
      <c r="I1273" s="3179">
        <v>8.6199999999999992</v>
      </c>
      <c r="J1273" s="3179">
        <v>2.71</v>
      </c>
      <c r="L1273" s="3177">
        <v>1271</v>
      </c>
      <c r="M1273" s="3175">
        <v>-10485</v>
      </c>
      <c r="N1273" s="3175" t="s">
        <v>4187</v>
      </c>
      <c r="O1273" s="3176">
        <v>26.98</v>
      </c>
      <c r="P1273" s="3176">
        <v>8.49</v>
      </c>
    </row>
    <row r="1274" spans="1:16" ht="15" thickBot="1">
      <c r="A1274" s="3174">
        <v>1272</v>
      </c>
      <c r="B1274" s="3175" t="s">
        <v>4714</v>
      </c>
      <c r="C1274" s="3176">
        <v>112.53</v>
      </c>
      <c r="D1274" s="3176">
        <v>35.43</v>
      </c>
      <c r="F1274" s="3177">
        <v>1272</v>
      </c>
      <c r="G1274" s="3175" t="s">
        <v>4664</v>
      </c>
      <c r="H1274" s="3178">
        <v>-1051</v>
      </c>
      <c r="I1274" s="3179">
        <v>12.38</v>
      </c>
      <c r="J1274" s="3179">
        <v>3.9</v>
      </c>
      <c r="L1274" s="3177">
        <v>1272</v>
      </c>
      <c r="M1274" s="3175">
        <v>-10486</v>
      </c>
      <c r="N1274" s="3175" t="s">
        <v>4187</v>
      </c>
      <c r="O1274" s="3176">
        <v>26.98</v>
      </c>
      <c r="P1274" s="3176">
        <v>8.49</v>
      </c>
    </row>
    <row r="1275" spans="1:16" ht="15" thickBot="1">
      <c r="A1275" s="3174">
        <v>1273</v>
      </c>
      <c r="B1275" s="3175" t="s">
        <v>4715</v>
      </c>
      <c r="C1275" s="3176">
        <v>89.2</v>
      </c>
      <c r="D1275" s="3176">
        <v>28.08</v>
      </c>
      <c r="F1275" s="3177">
        <v>1273</v>
      </c>
      <c r="G1275" s="3175" t="s">
        <v>4664</v>
      </c>
      <c r="H1275" s="3178">
        <v>-1052</v>
      </c>
      <c r="I1275" s="3179">
        <v>12.16</v>
      </c>
      <c r="J1275" s="3179">
        <v>3.83</v>
      </c>
      <c r="L1275" s="3177">
        <v>1273</v>
      </c>
      <c r="M1275" s="3175">
        <v>-10487</v>
      </c>
      <c r="N1275" s="3175" t="s">
        <v>4187</v>
      </c>
      <c r="O1275" s="3176">
        <v>26.98</v>
      </c>
      <c r="P1275" s="3176">
        <v>8.49</v>
      </c>
    </row>
    <row r="1276" spans="1:16" ht="15" thickBot="1">
      <c r="A1276" s="3174">
        <v>1274</v>
      </c>
      <c r="B1276" s="3175" t="s">
        <v>4716</v>
      </c>
      <c r="C1276" s="3176">
        <v>88.92</v>
      </c>
      <c r="D1276" s="3176">
        <v>28</v>
      </c>
      <c r="F1276" s="3177">
        <v>1274</v>
      </c>
      <c r="G1276" s="3175" t="s">
        <v>4664</v>
      </c>
      <c r="H1276" s="3178">
        <v>-1053</v>
      </c>
      <c r="I1276" s="3179">
        <v>14</v>
      </c>
      <c r="J1276" s="3179">
        <v>4.41</v>
      </c>
      <c r="L1276" s="3177">
        <v>1274</v>
      </c>
      <c r="M1276" s="3175">
        <v>-10488</v>
      </c>
      <c r="N1276" s="3175" t="s">
        <v>4187</v>
      </c>
      <c r="O1276" s="3176">
        <v>26.98</v>
      </c>
      <c r="P1276" s="3176">
        <v>8.49</v>
      </c>
    </row>
    <row r="1277" spans="1:16" ht="15" thickBot="1">
      <c r="A1277" s="3174">
        <v>1275</v>
      </c>
      <c r="B1277" s="3175" t="s">
        <v>4717</v>
      </c>
      <c r="C1277" s="3176">
        <v>88.92</v>
      </c>
      <c r="D1277" s="3176">
        <v>28</v>
      </c>
      <c r="F1277" s="3177">
        <v>1275</v>
      </c>
      <c r="G1277" s="3175" t="s">
        <v>4664</v>
      </c>
      <c r="H1277" s="3178">
        <v>-1054</v>
      </c>
      <c r="I1277" s="3179">
        <v>10.96</v>
      </c>
      <c r="J1277" s="3179">
        <v>3.45</v>
      </c>
      <c r="L1277" s="3177">
        <v>1275</v>
      </c>
      <c r="M1277" s="3175">
        <v>-10489</v>
      </c>
      <c r="N1277" s="3175" t="s">
        <v>4187</v>
      </c>
      <c r="O1277" s="3176">
        <v>26.98</v>
      </c>
      <c r="P1277" s="3176">
        <v>8.49</v>
      </c>
    </row>
    <row r="1278" spans="1:16" ht="15" thickBot="1">
      <c r="A1278" s="3174">
        <v>1276</v>
      </c>
      <c r="B1278" s="3175" t="s">
        <v>4718</v>
      </c>
      <c r="C1278" s="3176">
        <v>112.53</v>
      </c>
      <c r="D1278" s="3176">
        <v>35.43</v>
      </c>
      <c r="F1278" s="3177">
        <v>1276</v>
      </c>
      <c r="G1278" s="3175" t="s">
        <v>4664</v>
      </c>
      <c r="H1278" s="3178">
        <v>-1055</v>
      </c>
      <c r="I1278" s="3179">
        <v>10.37</v>
      </c>
      <c r="J1278" s="3179">
        <v>3.26</v>
      </c>
      <c r="L1278" s="3177">
        <v>1276</v>
      </c>
      <c r="M1278" s="3175">
        <v>-10490</v>
      </c>
      <c r="N1278" s="3175" t="s">
        <v>4187</v>
      </c>
      <c r="O1278" s="3176">
        <v>26.98</v>
      </c>
      <c r="P1278" s="3176">
        <v>8.49</v>
      </c>
    </row>
    <row r="1279" spans="1:16" ht="15" thickBot="1">
      <c r="A1279" s="3174">
        <v>1277</v>
      </c>
      <c r="B1279" s="3175" t="s">
        <v>4719</v>
      </c>
      <c r="C1279" s="3176">
        <v>89.2</v>
      </c>
      <c r="D1279" s="3176">
        <v>28.08</v>
      </c>
      <c r="F1279" s="3177">
        <v>1277</v>
      </c>
      <c r="G1279" s="3175" t="s">
        <v>4664</v>
      </c>
      <c r="H1279" s="3178">
        <v>-1056</v>
      </c>
      <c r="I1279" s="3179">
        <v>10.65</v>
      </c>
      <c r="J1279" s="3179">
        <v>3.35</v>
      </c>
      <c r="L1279" s="3177">
        <v>1277</v>
      </c>
      <c r="M1279" s="3175">
        <v>-10491</v>
      </c>
      <c r="N1279" s="3175" t="s">
        <v>4187</v>
      </c>
      <c r="O1279" s="3176">
        <v>26.98</v>
      </c>
      <c r="P1279" s="3176">
        <v>8.49</v>
      </c>
    </row>
    <row r="1280" spans="1:16" ht="15" thickBot="1">
      <c r="A1280" s="3174">
        <v>1278</v>
      </c>
      <c r="B1280" s="3175" t="s">
        <v>4720</v>
      </c>
      <c r="C1280" s="3176">
        <v>88.92</v>
      </c>
      <c r="D1280" s="3176">
        <v>28</v>
      </c>
      <c r="F1280" s="3177">
        <v>1278</v>
      </c>
      <c r="G1280" s="3175" t="s">
        <v>4721</v>
      </c>
      <c r="H1280" s="3178">
        <v>-3001</v>
      </c>
      <c r="I1280" s="3179">
        <v>8.4</v>
      </c>
      <c r="J1280" s="3179">
        <v>2.64</v>
      </c>
      <c r="L1280" s="3177">
        <v>1278</v>
      </c>
      <c r="M1280" s="3175">
        <v>-10492</v>
      </c>
      <c r="N1280" s="3175" t="s">
        <v>4187</v>
      </c>
      <c r="O1280" s="3176">
        <v>26.98</v>
      </c>
      <c r="P1280" s="3176">
        <v>8.49</v>
      </c>
    </row>
    <row r="1281" spans="1:16" ht="15" thickBot="1">
      <c r="A1281" s="3174">
        <v>1279</v>
      </c>
      <c r="B1281" s="3175" t="s">
        <v>4722</v>
      </c>
      <c r="C1281" s="3176">
        <v>88.92</v>
      </c>
      <c r="D1281" s="3176">
        <v>28</v>
      </c>
      <c r="F1281" s="3177">
        <v>1279</v>
      </c>
      <c r="G1281" s="3175" t="s">
        <v>4721</v>
      </c>
      <c r="H1281" s="3178">
        <v>-3002</v>
      </c>
      <c r="I1281" s="3179">
        <v>8.5299999999999994</v>
      </c>
      <c r="J1281" s="3179">
        <v>2.69</v>
      </c>
      <c r="L1281" s="3177">
        <v>1279</v>
      </c>
      <c r="M1281" s="3175">
        <v>-10493</v>
      </c>
      <c r="N1281" s="3175" t="s">
        <v>4187</v>
      </c>
      <c r="O1281" s="3176">
        <v>26.98</v>
      </c>
      <c r="P1281" s="3176">
        <v>8.49</v>
      </c>
    </row>
    <row r="1282" spans="1:16" ht="15" thickBot="1">
      <c r="A1282" s="3174">
        <v>1280</v>
      </c>
      <c r="B1282" s="3175" t="s">
        <v>4723</v>
      </c>
      <c r="C1282" s="3176">
        <v>112.53</v>
      </c>
      <c r="D1282" s="3176">
        <v>35.43</v>
      </c>
      <c r="F1282" s="3177">
        <v>1280</v>
      </c>
      <c r="G1282" s="3175" t="s">
        <v>4721</v>
      </c>
      <c r="H1282" s="3178">
        <v>-3003</v>
      </c>
      <c r="I1282" s="3179">
        <v>10.89</v>
      </c>
      <c r="J1282" s="3179">
        <v>3.43</v>
      </c>
      <c r="L1282" s="3177">
        <v>1280</v>
      </c>
      <c r="M1282" s="3175">
        <v>-10494</v>
      </c>
      <c r="N1282" s="3175" t="s">
        <v>4187</v>
      </c>
      <c r="O1282" s="3176">
        <v>26.98</v>
      </c>
      <c r="P1282" s="3176">
        <v>8.49</v>
      </c>
    </row>
    <row r="1283" spans="1:16" ht="15" thickBot="1">
      <c r="A1283" s="3174">
        <v>1281</v>
      </c>
      <c r="B1283" s="3175" t="s">
        <v>4724</v>
      </c>
      <c r="C1283" s="3176">
        <v>89.2</v>
      </c>
      <c r="D1283" s="3176">
        <v>28.08</v>
      </c>
      <c r="F1283" s="3177">
        <v>1281</v>
      </c>
      <c r="G1283" s="3175" t="s">
        <v>4721</v>
      </c>
      <c r="H1283" s="3178">
        <v>-3004</v>
      </c>
      <c r="I1283" s="3179">
        <v>14.76</v>
      </c>
      <c r="J1283" s="3179">
        <v>4.6500000000000004</v>
      </c>
      <c r="L1283" s="3177">
        <v>1281</v>
      </c>
      <c r="M1283" s="3175">
        <v>-10495</v>
      </c>
      <c r="N1283" s="3175" t="s">
        <v>4187</v>
      </c>
      <c r="O1283" s="3176">
        <v>26.98</v>
      </c>
      <c r="P1283" s="3176">
        <v>8.49</v>
      </c>
    </row>
    <row r="1284" spans="1:16" ht="15" thickBot="1">
      <c r="A1284" s="3174">
        <v>1282</v>
      </c>
      <c r="B1284" s="3175" t="s">
        <v>4725</v>
      </c>
      <c r="C1284" s="3176">
        <v>88.92</v>
      </c>
      <c r="D1284" s="3176">
        <v>28</v>
      </c>
      <c r="F1284" s="3177">
        <v>1282</v>
      </c>
      <c r="G1284" s="3175" t="s">
        <v>4721</v>
      </c>
      <c r="H1284" s="3178">
        <v>-3005</v>
      </c>
      <c r="I1284" s="3179">
        <v>6.97</v>
      </c>
      <c r="J1284" s="3179">
        <v>2.19</v>
      </c>
      <c r="L1284" s="3177">
        <v>1282</v>
      </c>
      <c r="M1284" s="3175">
        <v>-10496</v>
      </c>
      <c r="N1284" s="3175" t="s">
        <v>4187</v>
      </c>
      <c r="O1284" s="3176">
        <v>26.98</v>
      </c>
      <c r="P1284" s="3176">
        <v>8.49</v>
      </c>
    </row>
    <row r="1285" spans="1:16" ht="15" thickBot="1">
      <c r="A1285" s="3174">
        <v>1283</v>
      </c>
      <c r="B1285" s="3175" t="s">
        <v>4726</v>
      </c>
      <c r="C1285" s="3176">
        <v>88.92</v>
      </c>
      <c r="D1285" s="3176">
        <v>28</v>
      </c>
      <c r="F1285" s="3177">
        <v>1283</v>
      </c>
      <c r="G1285" s="3175" t="s">
        <v>4721</v>
      </c>
      <c r="H1285" s="3178">
        <v>-3006</v>
      </c>
      <c r="I1285" s="3179">
        <v>6.78</v>
      </c>
      <c r="J1285" s="3179">
        <v>2.13</v>
      </c>
      <c r="L1285" s="3177">
        <v>1283</v>
      </c>
      <c r="M1285" s="3175">
        <v>-10497</v>
      </c>
      <c r="N1285" s="3175" t="s">
        <v>4187</v>
      </c>
      <c r="O1285" s="3176">
        <v>26.98</v>
      </c>
      <c r="P1285" s="3176">
        <v>8.49</v>
      </c>
    </row>
    <row r="1286" spans="1:16" ht="15" thickBot="1">
      <c r="A1286" s="3174">
        <v>1284</v>
      </c>
      <c r="B1286" s="3175" t="s">
        <v>4727</v>
      </c>
      <c r="C1286" s="3176">
        <v>112.53</v>
      </c>
      <c r="D1286" s="3176">
        <v>35.43</v>
      </c>
      <c r="F1286" s="3177">
        <v>1284</v>
      </c>
      <c r="G1286" s="3175" t="s">
        <v>4721</v>
      </c>
      <c r="H1286" s="3178">
        <v>-3007</v>
      </c>
      <c r="I1286" s="3179">
        <v>8.4</v>
      </c>
      <c r="J1286" s="3179">
        <v>2.64</v>
      </c>
      <c r="L1286" s="3177">
        <v>1284</v>
      </c>
      <c r="M1286" s="3175">
        <v>-10498</v>
      </c>
      <c r="N1286" s="3175" t="s">
        <v>4187</v>
      </c>
      <c r="O1286" s="3176">
        <v>26.98</v>
      </c>
      <c r="P1286" s="3176">
        <v>8.49</v>
      </c>
    </row>
    <row r="1287" spans="1:16" ht="15" thickBot="1">
      <c r="A1287" s="3174">
        <v>1285</v>
      </c>
      <c r="B1287" s="3175" t="s">
        <v>4728</v>
      </c>
      <c r="C1287" s="3176">
        <v>89.2</v>
      </c>
      <c r="D1287" s="3176">
        <v>28.08</v>
      </c>
      <c r="F1287" s="3177">
        <v>1285</v>
      </c>
      <c r="G1287" s="3175" t="s">
        <v>4721</v>
      </c>
      <c r="H1287" s="3178">
        <v>-3008</v>
      </c>
      <c r="I1287" s="3179">
        <v>9.5299999999999994</v>
      </c>
      <c r="J1287" s="3179">
        <v>3</v>
      </c>
      <c r="L1287" s="3177">
        <v>1285</v>
      </c>
      <c r="M1287" s="3175">
        <v>-10499</v>
      </c>
      <c r="N1287" s="3175" t="s">
        <v>4187</v>
      </c>
      <c r="O1287" s="3176">
        <v>26.98</v>
      </c>
      <c r="P1287" s="3176">
        <v>8.49</v>
      </c>
    </row>
    <row r="1288" spans="1:16" ht="15" thickBot="1">
      <c r="A1288" s="3174">
        <v>1286</v>
      </c>
      <c r="B1288" s="3175" t="s">
        <v>4729</v>
      </c>
      <c r="C1288" s="3176">
        <v>88.92</v>
      </c>
      <c r="D1288" s="3176">
        <v>28</v>
      </c>
      <c r="F1288" s="3177">
        <v>1286</v>
      </c>
      <c r="G1288" s="3175" t="s">
        <v>4721</v>
      </c>
      <c r="H1288" s="3178">
        <v>-3009</v>
      </c>
      <c r="I1288" s="3179">
        <v>9.09</v>
      </c>
      <c r="J1288" s="3179">
        <v>2.86</v>
      </c>
      <c r="L1288" s="3177">
        <v>1286</v>
      </c>
      <c r="M1288" s="3175">
        <v>-10500</v>
      </c>
      <c r="N1288" s="3175" t="s">
        <v>4187</v>
      </c>
      <c r="O1288" s="3176">
        <v>26.98</v>
      </c>
      <c r="P1288" s="3176">
        <v>8.49</v>
      </c>
    </row>
    <row r="1289" spans="1:16" ht="15" thickBot="1">
      <c r="A1289" s="3174">
        <v>1287</v>
      </c>
      <c r="B1289" s="3175" t="s">
        <v>4730</v>
      </c>
      <c r="C1289" s="3176">
        <v>88.92</v>
      </c>
      <c r="D1289" s="3176">
        <v>28</v>
      </c>
      <c r="F1289" s="3177">
        <v>1287</v>
      </c>
      <c r="G1289" s="3175" t="s">
        <v>4721</v>
      </c>
      <c r="H1289" s="3178">
        <v>-3010</v>
      </c>
      <c r="I1289" s="3179">
        <v>10.65</v>
      </c>
      <c r="J1289" s="3179">
        <v>3.35</v>
      </c>
      <c r="L1289" s="3177">
        <v>1287</v>
      </c>
      <c r="M1289" s="3175">
        <v>-10501</v>
      </c>
      <c r="N1289" s="3175" t="s">
        <v>4187</v>
      </c>
      <c r="O1289" s="3176">
        <v>26.98</v>
      </c>
      <c r="P1289" s="3176">
        <v>8.49</v>
      </c>
    </row>
    <row r="1290" spans="1:16" ht="15" thickBot="1">
      <c r="A1290" s="3174">
        <v>1288</v>
      </c>
      <c r="B1290" s="3175" t="s">
        <v>4731</v>
      </c>
      <c r="C1290" s="3176">
        <v>112.53</v>
      </c>
      <c r="D1290" s="3176">
        <v>35.43</v>
      </c>
      <c r="F1290" s="3177">
        <v>1288</v>
      </c>
      <c r="G1290" s="3175" t="s">
        <v>4721</v>
      </c>
      <c r="H1290" s="3178">
        <v>-3011</v>
      </c>
      <c r="I1290" s="3179">
        <v>10.97</v>
      </c>
      <c r="J1290" s="3179">
        <v>3.45</v>
      </c>
      <c r="L1290" s="3177">
        <v>1288</v>
      </c>
      <c r="M1290" s="3175">
        <v>-10502</v>
      </c>
      <c r="N1290" s="3175" t="s">
        <v>4187</v>
      </c>
      <c r="O1290" s="3176">
        <v>26.98</v>
      </c>
      <c r="P1290" s="3176">
        <v>8.49</v>
      </c>
    </row>
    <row r="1291" spans="1:16" ht="15" thickBot="1">
      <c r="A1291" s="3174">
        <v>1289</v>
      </c>
      <c r="B1291" s="3175" t="s">
        <v>4732</v>
      </c>
      <c r="C1291" s="3176">
        <v>89.2</v>
      </c>
      <c r="D1291" s="3176">
        <v>28.08</v>
      </c>
      <c r="F1291" s="3177">
        <v>1289</v>
      </c>
      <c r="G1291" s="3175" t="s">
        <v>4721</v>
      </c>
      <c r="H1291" s="3178">
        <v>-3012</v>
      </c>
      <c r="I1291" s="3179">
        <v>10.35</v>
      </c>
      <c r="J1291" s="3179">
        <v>3.26</v>
      </c>
      <c r="L1291" s="3177">
        <v>1289</v>
      </c>
      <c r="M1291" s="3175">
        <v>-10503</v>
      </c>
      <c r="N1291" s="3175" t="s">
        <v>4187</v>
      </c>
      <c r="O1291" s="3176">
        <v>26.98</v>
      </c>
      <c r="P1291" s="3176">
        <v>8.49</v>
      </c>
    </row>
    <row r="1292" spans="1:16" ht="15" thickBot="1">
      <c r="A1292" s="3174">
        <v>1290</v>
      </c>
      <c r="B1292" s="3175" t="s">
        <v>4733</v>
      </c>
      <c r="C1292" s="3176">
        <v>88.92</v>
      </c>
      <c r="D1292" s="3176">
        <v>28</v>
      </c>
      <c r="F1292" s="3177">
        <v>1290</v>
      </c>
      <c r="G1292" s="3175" t="s">
        <v>4721</v>
      </c>
      <c r="H1292" s="3178">
        <v>-3013</v>
      </c>
      <c r="I1292" s="3179">
        <v>10.35</v>
      </c>
      <c r="J1292" s="3179">
        <v>3.26</v>
      </c>
      <c r="L1292" s="3177">
        <v>1290</v>
      </c>
      <c r="M1292" s="3175">
        <v>-10504</v>
      </c>
      <c r="N1292" s="3175" t="s">
        <v>4187</v>
      </c>
      <c r="O1292" s="3176">
        <v>26.98</v>
      </c>
      <c r="P1292" s="3176">
        <v>8.49</v>
      </c>
    </row>
    <row r="1293" spans="1:16" ht="15" thickBot="1">
      <c r="A1293" s="3174">
        <v>1291</v>
      </c>
      <c r="B1293" s="3175" t="s">
        <v>4734</v>
      </c>
      <c r="C1293" s="3176">
        <v>88.92</v>
      </c>
      <c r="D1293" s="3176">
        <v>28</v>
      </c>
      <c r="F1293" s="3177">
        <v>1291</v>
      </c>
      <c r="G1293" s="3175" t="s">
        <v>4721</v>
      </c>
      <c r="H1293" s="3178">
        <v>-3014</v>
      </c>
      <c r="I1293" s="3179">
        <v>10.35</v>
      </c>
      <c r="J1293" s="3179">
        <v>3.26</v>
      </c>
      <c r="L1293" s="3177">
        <v>1291</v>
      </c>
      <c r="M1293" s="3175">
        <v>-10505</v>
      </c>
      <c r="N1293" s="3175" t="s">
        <v>4187</v>
      </c>
      <c r="O1293" s="3176">
        <v>26.98</v>
      </c>
      <c r="P1293" s="3176">
        <v>8.49</v>
      </c>
    </row>
    <row r="1294" spans="1:16" ht="15" thickBot="1">
      <c r="A1294" s="3174">
        <v>1292</v>
      </c>
      <c r="B1294" s="3175" t="s">
        <v>4735</v>
      </c>
      <c r="C1294" s="3176">
        <v>112.53</v>
      </c>
      <c r="D1294" s="3176">
        <v>35.43</v>
      </c>
      <c r="F1294" s="3177">
        <v>1292</v>
      </c>
      <c r="G1294" s="3175" t="s">
        <v>4721</v>
      </c>
      <c r="H1294" s="3178">
        <v>-3015</v>
      </c>
      <c r="I1294" s="3179">
        <v>10.18</v>
      </c>
      <c r="J1294" s="3179">
        <v>3.21</v>
      </c>
      <c r="L1294" s="3177">
        <v>1292</v>
      </c>
      <c r="M1294" s="3175">
        <v>-10506</v>
      </c>
      <c r="N1294" s="3175" t="s">
        <v>4187</v>
      </c>
      <c r="O1294" s="3176">
        <v>26.98</v>
      </c>
      <c r="P1294" s="3176">
        <v>8.49</v>
      </c>
    </row>
    <row r="1295" spans="1:16" ht="15" thickBot="1">
      <c r="A1295" s="3174">
        <v>1293</v>
      </c>
      <c r="B1295" s="3175" t="s">
        <v>4736</v>
      </c>
      <c r="C1295" s="3176">
        <v>89.2</v>
      </c>
      <c r="D1295" s="3176">
        <v>28.08</v>
      </c>
      <c r="F1295" s="3177">
        <v>1293</v>
      </c>
      <c r="G1295" s="3175" t="s">
        <v>4721</v>
      </c>
      <c r="H1295" s="3178">
        <v>-3016</v>
      </c>
      <c r="I1295" s="3179">
        <v>8.25</v>
      </c>
      <c r="J1295" s="3179">
        <v>2.6</v>
      </c>
      <c r="L1295" s="3177">
        <v>1293</v>
      </c>
      <c r="M1295" s="3175">
        <v>-10507</v>
      </c>
      <c r="N1295" s="3175" t="s">
        <v>4187</v>
      </c>
      <c r="O1295" s="3176">
        <v>26.98</v>
      </c>
      <c r="P1295" s="3176">
        <v>8.49</v>
      </c>
    </row>
    <row r="1296" spans="1:16" ht="15" thickBot="1">
      <c r="A1296" s="3174">
        <v>1294</v>
      </c>
      <c r="B1296" s="3175" t="s">
        <v>4737</v>
      </c>
      <c r="C1296" s="3176">
        <v>88.92</v>
      </c>
      <c r="D1296" s="3176">
        <v>28</v>
      </c>
      <c r="F1296" s="3177">
        <v>1294</v>
      </c>
      <c r="G1296" s="3175" t="s">
        <v>4721</v>
      </c>
      <c r="H1296" s="3178">
        <v>-3017</v>
      </c>
      <c r="I1296" s="3179">
        <v>8.25</v>
      </c>
      <c r="J1296" s="3179">
        <v>2.6</v>
      </c>
      <c r="L1296" s="3177">
        <v>1294</v>
      </c>
      <c r="M1296" s="3175">
        <v>-10508</v>
      </c>
      <c r="N1296" s="3175" t="s">
        <v>4187</v>
      </c>
      <c r="O1296" s="3176">
        <v>26.98</v>
      </c>
      <c r="P1296" s="3176">
        <v>8.49</v>
      </c>
    </row>
    <row r="1297" spans="1:16" ht="15" thickBot="1">
      <c r="A1297" s="3174">
        <v>1295</v>
      </c>
      <c r="B1297" s="3175" t="s">
        <v>4738</v>
      </c>
      <c r="C1297" s="3176">
        <v>88.92</v>
      </c>
      <c r="D1297" s="3176">
        <v>28</v>
      </c>
      <c r="F1297" s="3177">
        <v>1295</v>
      </c>
      <c r="G1297" s="3175" t="s">
        <v>4721</v>
      </c>
      <c r="H1297" s="3178">
        <v>-3018</v>
      </c>
      <c r="I1297" s="3179">
        <v>9.36</v>
      </c>
      <c r="J1297" s="3179">
        <v>2.95</v>
      </c>
      <c r="L1297" s="3177">
        <v>1295</v>
      </c>
      <c r="M1297" s="3175">
        <v>-10509</v>
      </c>
      <c r="N1297" s="3175" t="s">
        <v>4187</v>
      </c>
      <c r="O1297" s="3176">
        <v>26.98</v>
      </c>
      <c r="P1297" s="3176">
        <v>8.49</v>
      </c>
    </row>
    <row r="1298" spans="1:16" ht="15" thickBot="1">
      <c r="A1298" s="3174">
        <v>1296</v>
      </c>
      <c r="B1298" s="3175" t="s">
        <v>4739</v>
      </c>
      <c r="C1298" s="3176">
        <v>112.53</v>
      </c>
      <c r="D1298" s="3176">
        <v>35.43</v>
      </c>
      <c r="F1298" s="3177">
        <v>1296</v>
      </c>
      <c r="G1298" s="3175" t="s">
        <v>4721</v>
      </c>
      <c r="H1298" s="3178">
        <v>-3019</v>
      </c>
      <c r="I1298" s="3179">
        <v>9.24</v>
      </c>
      <c r="J1298" s="3179">
        <v>2.91</v>
      </c>
      <c r="L1298" s="3177">
        <v>1296</v>
      </c>
      <c r="M1298" s="3175">
        <v>-10510</v>
      </c>
      <c r="N1298" s="3175" t="s">
        <v>4187</v>
      </c>
      <c r="O1298" s="3176">
        <v>26.98</v>
      </c>
      <c r="P1298" s="3176">
        <v>8.49</v>
      </c>
    </row>
    <row r="1299" spans="1:16" ht="15" thickBot="1">
      <c r="A1299" s="3174">
        <v>1297</v>
      </c>
      <c r="B1299" s="3175" t="s">
        <v>4740</v>
      </c>
      <c r="C1299" s="3176">
        <v>89.2</v>
      </c>
      <c r="D1299" s="3176">
        <v>28.08</v>
      </c>
      <c r="F1299" s="3177">
        <v>1297</v>
      </c>
      <c r="G1299" s="3175" t="s">
        <v>4721</v>
      </c>
      <c r="H1299" s="3178">
        <v>-3020</v>
      </c>
      <c r="I1299" s="3179">
        <v>9.5299999999999994</v>
      </c>
      <c r="J1299" s="3179">
        <v>3</v>
      </c>
      <c r="L1299" s="3177">
        <v>1297</v>
      </c>
      <c r="M1299" s="3175">
        <v>-10511</v>
      </c>
      <c r="N1299" s="3175" t="s">
        <v>4187</v>
      </c>
      <c r="O1299" s="3176">
        <v>26.98</v>
      </c>
      <c r="P1299" s="3176">
        <v>8.49</v>
      </c>
    </row>
    <row r="1300" spans="1:16" ht="15" thickBot="1">
      <c r="A1300" s="3174">
        <v>1298</v>
      </c>
      <c r="B1300" s="3175" t="s">
        <v>4741</v>
      </c>
      <c r="C1300" s="3176">
        <v>88.92</v>
      </c>
      <c r="D1300" s="3176">
        <v>28</v>
      </c>
      <c r="F1300" s="3177">
        <v>1298</v>
      </c>
      <c r="G1300" s="3175" t="s">
        <v>4721</v>
      </c>
      <c r="H1300" s="3178">
        <v>-3021</v>
      </c>
      <c r="I1300" s="3179">
        <v>11.29</v>
      </c>
      <c r="J1300" s="3179">
        <v>3.55</v>
      </c>
      <c r="L1300" s="3177">
        <v>1298</v>
      </c>
      <c r="M1300" s="3175">
        <v>-10512</v>
      </c>
      <c r="N1300" s="3175" t="s">
        <v>4187</v>
      </c>
      <c r="O1300" s="3176">
        <v>26.98</v>
      </c>
      <c r="P1300" s="3176">
        <v>8.49</v>
      </c>
    </row>
    <row r="1301" spans="1:16" ht="15" thickBot="1">
      <c r="A1301" s="3174">
        <v>1299</v>
      </c>
      <c r="B1301" s="3175" t="s">
        <v>4742</v>
      </c>
      <c r="C1301" s="3176">
        <v>88.92</v>
      </c>
      <c r="D1301" s="3176">
        <v>28</v>
      </c>
      <c r="F1301" s="3177">
        <v>1299</v>
      </c>
      <c r="G1301" s="3175" t="s">
        <v>4721</v>
      </c>
      <c r="H1301" s="3178">
        <v>-3022</v>
      </c>
      <c r="I1301" s="3179">
        <v>10.97</v>
      </c>
      <c r="J1301" s="3179">
        <v>3.45</v>
      </c>
      <c r="L1301" s="3177">
        <v>1299</v>
      </c>
      <c r="M1301" s="3175">
        <v>-10513</v>
      </c>
      <c r="N1301" s="3175" t="s">
        <v>4187</v>
      </c>
      <c r="O1301" s="3176">
        <v>26.98</v>
      </c>
      <c r="P1301" s="3176">
        <v>8.49</v>
      </c>
    </row>
    <row r="1302" spans="1:16" ht="15" thickBot="1">
      <c r="A1302" s="3174">
        <v>1300</v>
      </c>
      <c r="B1302" s="3175" t="s">
        <v>4743</v>
      </c>
      <c r="C1302" s="3176">
        <v>112.53</v>
      </c>
      <c r="D1302" s="3176">
        <v>35.43</v>
      </c>
      <c r="F1302" s="3177">
        <v>1300</v>
      </c>
      <c r="G1302" s="3175" t="s">
        <v>4721</v>
      </c>
      <c r="H1302" s="3178">
        <v>-3023</v>
      </c>
      <c r="I1302" s="3179">
        <v>10.35</v>
      </c>
      <c r="J1302" s="3179">
        <v>3.26</v>
      </c>
      <c r="L1302" s="3177">
        <v>1300</v>
      </c>
      <c r="M1302" s="3175">
        <v>-10514</v>
      </c>
      <c r="N1302" s="3175" t="s">
        <v>4187</v>
      </c>
      <c r="O1302" s="3176">
        <v>26.98</v>
      </c>
      <c r="P1302" s="3176">
        <v>8.49</v>
      </c>
    </row>
    <row r="1303" spans="1:16" ht="15" thickBot="1">
      <c r="A1303" s="3174">
        <v>1301</v>
      </c>
      <c r="B1303" s="3175" t="s">
        <v>4744</v>
      </c>
      <c r="C1303" s="3176">
        <v>89.2</v>
      </c>
      <c r="D1303" s="3176">
        <v>28.08</v>
      </c>
      <c r="F1303" s="3177">
        <v>1301</v>
      </c>
      <c r="G1303" s="3175" t="s">
        <v>4721</v>
      </c>
      <c r="H1303" s="3178">
        <v>-3024</v>
      </c>
      <c r="I1303" s="3179">
        <v>10.35</v>
      </c>
      <c r="J1303" s="3179">
        <v>3.26</v>
      </c>
      <c r="L1303" s="3177">
        <v>1301</v>
      </c>
      <c r="M1303" s="3175">
        <v>-10515</v>
      </c>
      <c r="N1303" s="3175" t="s">
        <v>4187</v>
      </c>
      <c r="O1303" s="3176">
        <v>26.98</v>
      </c>
      <c r="P1303" s="3176">
        <v>8.49</v>
      </c>
    </row>
    <row r="1304" spans="1:16" ht="15" thickBot="1">
      <c r="A1304" s="3174">
        <v>1302</v>
      </c>
      <c r="B1304" s="3175" t="s">
        <v>4745</v>
      </c>
      <c r="C1304" s="3176">
        <v>88.92</v>
      </c>
      <c r="D1304" s="3176">
        <v>28</v>
      </c>
      <c r="F1304" s="3177">
        <v>1302</v>
      </c>
      <c r="G1304" s="3175" t="s">
        <v>4721</v>
      </c>
      <c r="H1304" s="3178">
        <v>-3025</v>
      </c>
      <c r="I1304" s="3179">
        <v>10.35</v>
      </c>
      <c r="J1304" s="3179">
        <v>3.26</v>
      </c>
      <c r="L1304" s="3177">
        <v>1302</v>
      </c>
      <c r="M1304" s="3175">
        <v>-10516</v>
      </c>
      <c r="N1304" s="3175" t="s">
        <v>4187</v>
      </c>
      <c r="O1304" s="3176">
        <v>26.98</v>
      </c>
      <c r="P1304" s="3176">
        <v>8.49</v>
      </c>
    </row>
    <row r="1305" spans="1:16" ht="15" thickBot="1">
      <c r="A1305" s="3174">
        <v>1303</v>
      </c>
      <c r="B1305" s="3175" t="s">
        <v>4746</v>
      </c>
      <c r="C1305" s="3176">
        <v>88.92</v>
      </c>
      <c r="D1305" s="3176">
        <v>28</v>
      </c>
      <c r="F1305" s="3177">
        <v>1303</v>
      </c>
      <c r="G1305" s="3175" t="s">
        <v>4721</v>
      </c>
      <c r="H1305" s="3178">
        <v>-3026</v>
      </c>
      <c r="I1305" s="3179">
        <v>10.35</v>
      </c>
      <c r="J1305" s="3179">
        <v>3.26</v>
      </c>
      <c r="L1305" s="3177">
        <v>1303</v>
      </c>
      <c r="M1305" s="3175">
        <v>-10517</v>
      </c>
      <c r="N1305" s="3175" t="s">
        <v>4187</v>
      </c>
      <c r="O1305" s="3176">
        <v>26.98</v>
      </c>
      <c r="P1305" s="3176">
        <v>8.49</v>
      </c>
    </row>
    <row r="1306" spans="1:16" ht="15" thickBot="1">
      <c r="A1306" s="3174">
        <v>1304</v>
      </c>
      <c r="B1306" s="3175" t="s">
        <v>4747</v>
      </c>
      <c r="C1306" s="3176">
        <v>112.53</v>
      </c>
      <c r="D1306" s="3176">
        <v>35.43</v>
      </c>
      <c r="F1306" s="3177">
        <v>1304</v>
      </c>
      <c r="G1306" s="3175" t="s">
        <v>4721</v>
      </c>
      <c r="H1306" s="3178">
        <v>-3027</v>
      </c>
      <c r="I1306" s="3179">
        <v>10.35</v>
      </c>
      <c r="J1306" s="3179">
        <v>3.26</v>
      </c>
      <c r="L1306" s="3177">
        <v>1304</v>
      </c>
      <c r="M1306" s="3175">
        <v>-10518</v>
      </c>
      <c r="N1306" s="3175" t="s">
        <v>4187</v>
      </c>
      <c r="O1306" s="3176">
        <v>26.98</v>
      </c>
      <c r="P1306" s="3176">
        <v>8.49</v>
      </c>
    </row>
    <row r="1307" spans="1:16" ht="15" thickBot="1">
      <c r="A1307" s="3174">
        <v>1305</v>
      </c>
      <c r="B1307" s="3175" t="s">
        <v>4748</v>
      </c>
      <c r="C1307" s="3176">
        <v>89.2</v>
      </c>
      <c r="D1307" s="3176">
        <v>28.08</v>
      </c>
      <c r="F1307" s="3177">
        <v>1305</v>
      </c>
      <c r="G1307" s="3175" t="s">
        <v>4721</v>
      </c>
      <c r="H1307" s="3178">
        <v>-3028</v>
      </c>
      <c r="I1307" s="3179">
        <v>10.35</v>
      </c>
      <c r="J1307" s="3179">
        <v>3.26</v>
      </c>
      <c r="L1307" s="3177">
        <v>1305</v>
      </c>
      <c r="M1307" s="3175">
        <v>-10519</v>
      </c>
      <c r="N1307" s="3175" t="s">
        <v>4187</v>
      </c>
      <c r="O1307" s="3176">
        <v>26.98</v>
      </c>
      <c r="P1307" s="3176">
        <v>8.49</v>
      </c>
    </row>
    <row r="1308" spans="1:16" ht="15" thickBot="1">
      <c r="A1308" s="3174">
        <v>1306</v>
      </c>
      <c r="B1308" s="3175" t="s">
        <v>4749</v>
      </c>
      <c r="C1308" s="3176">
        <v>88.92</v>
      </c>
      <c r="D1308" s="3176">
        <v>28</v>
      </c>
      <c r="F1308" s="3177">
        <v>1306</v>
      </c>
      <c r="G1308" s="3175" t="s">
        <v>4721</v>
      </c>
      <c r="H1308" s="3178">
        <v>-3029</v>
      </c>
      <c r="I1308" s="3179">
        <v>10.35</v>
      </c>
      <c r="J1308" s="3179">
        <v>3.26</v>
      </c>
      <c r="L1308" s="3177">
        <v>1306</v>
      </c>
      <c r="M1308" s="3175">
        <v>-10520</v>
      </c>
      <c r="N1308" s="3175" t="s">
        <v>4187</v>
      </c>
      <c r="O1308" s="3176">
        <v>26.98</v>
      </c>
      <c r="P1308" s="3176">
        <v>8.49</v>
      </c>
    </row>
    <row r="1309" spans="1:16" ht="15" thickBot="1">
      <c r="A1309" s="3174">
        <v>1307</v>
      </c>
      <c r="B1309" s="3175" t="s">
        <v>4750</v>
      </c>
      <c r="C1309" s="3176">
        <v>88.92</v>
      </c>
      <c r="D1309" s="3176">
        <v>28</v>
      </c>
      <c r="F1309" s="3177">
        <v>1307</v>
      </c>
      <c r="G1309" s="3175" t="s">
        <v>4721</v>
      </c>
      <c r="H1309" s="3178">
        <v>-3030</v>
      </c>
      <c r="I1309" s="3179">
        <v>10.35</v>
      </c>
      <c r="J1309" s="3179">
        <v>3.26</v>
      </c>
      <c r="L1309" s="3177">
        <v>1307</v>
      </c>
      <c r="M1309" s="3175">
        <v>-10521</v>
      </c>
      <c r="N1309" s="3175" t="s">
        <v>4187</v>
      </c>
      <c r="O1309" s="3176">
        <v>26.98</v>
      </c>
      <c r="P1309" s="3176">
        <v>8.49</v>
      </c>
    </row>
    <row r="1310" spans="1:16" ht="15" thickBot="1">
      <c r="A1310" s="3174">
        <v>1308</v>
      </c>
      <c r="B1310" s="3175" t="s">
        <v>4751</v>
      </c>
      <c r="C1310" s="3176">
        <v>112.53</v>
      </c>
      <c r="D1310" s="3176">
        <v>35.43</v>
      </c>
      <c r="F1310" s="3177">
        <v>1308</v>
      </c>
      <c r="G1310" s="3175" t="s">
        <v>4721</v>
      </c>
      <c r="H1310" s="3178">
        <v>-3031</v>
      </c>
      <c r="I1310" s="3179">
        <v>8.4700000000000006</v>
      </c>
      <c r="J1310" s="3179">
        <v>2.67</v>
      </c>
      <c r="L1310" s="3177">
        <v>1308</v>
      </c>
      <c r="M1310" s="3175">
        <v>-10522</v>
      </c>
      <c r="N1310" s="3175" t="s">
        <v>4187</v>
      </c>
      <c r="O1310" s="3176">
        <v>26.98</v>
      </c>
      <c r="P1310" s="3176">
        <v>8.49</v>
      </c>
    </row>
    <row r="1311" spans="1:16" ht="15" thickBot="1">
      <c r="A1311" s="3174">
        <v>1309</v>
      </c>
      <c r="B1311" s="3175" t="s">
        <v>4752</v>
      </c>
      <c r="C1311" s="3176">
        <v>88.33</v>
      </c>
      <c r="D1311" s="3176">
        <v>27.81</v>
      </c>
      <c r="F1311" s="3177">
        <v>1309</v>
      </c>
      <c r="G1311" s="3175" t="s">
        <v>4721</v>
      </c>
      <c r="H1311" s="3178">
        <v>-3032</v>
      </c>
      <c r="I1311" s="3179">
        <v>10.97</v>
      </c>
      <c r="J1311" s="3179">
        <v>3.45</v>
      </c>
      <c r="L1311" s="3177">
        <v>1309</v>
      </c>
      <c r="M1311" s="3175">
        <v>-10523</v>
      </c>
      <c r="N1311" s="3175" t="s">
        <v>4187</v>
      </c>
      <c r="O1311" s="3176">
        <v>26.98</v>
      </c>
      <c r="P1311" s="3176">
        <v>8.49</v>
      </c>
    </row>
    <row r="1312" spans="1:16" ht="15" thickBot="1">
      <c r="A1312" s="3174">
        <v>1310</v>
      </c>
      <c r="B1312" s="3175" t="s">
        <v>4753</v>
      </c>
      <c r="C1312" s="3176">
        <v>88.92</v>
      </c>
      <c r="D1312" s="3176">
        <v>28</v>
      </c>
      <c r="F1312" s="3177">
        <v>1310</v>
      </c>
      <c r="G1312" s="3175" t="s">
        <v>4721</v>
      </c>
      <c r="H1312" s="3178">
        <v>-3033</v>
      </c>
      <c r="I1312" s="3179">
        <v>11.29</v>
      </c>
      <c r="J1312" s="3179">
        <v>3.55</v>
      </c>
      <c r="L1312" s="3177">
        <v>1310</v>
      </c>
      <c r="M1312" s="3175">
        <v>-10524</v>
      </c>
      <c r="N1312" s="3175" t="s">
        <v>4187</v>
      </c>
      <c r="O1312" s="3176">
        <v>26.98</v>
      </c>
      <c r="P1312" s="3176">
        <v>8.49</v>
      </c>
    </row>
    <row r="1313" spans="1:16" ht="15" thickBot="1">
      <c r="A1313" s="3174">
        <v>1311</v>
      </c>
      <c r="B1313" s="3175" t="s">
        <v>4754</v>
      </c>
      <c r="C1313" s="3176">
        <v>88.92</v>
      </c>
      <c r="D1313" s="3176">
        <v>28</v>
      </c>
      <c r="F1313" s="3177">
        <v>1311</v>
      </c>
      <c r="G1313" s="3175" t="s">
        <v>4721</v>
      </c>
      <c r="H1313" s="3178">
        <v>-3034</v>
      </c>
      <c r="I1313" s="3179">
        <v>9.66</v>
      </c>
      <c r="J1313" s="3179">
        <v>3.04</v>
      </c>
      <c r="L1313" s="3177">
        <v>1311</v>
      </c>
      <c r="M1313" s="3175">
        <v>-10525</v>
      </c>
      <c r="N1313" s="3175" t="s">
        <v>4187</v>
      </c>
      <c r="O1313" s="3176">
        <v>26.98</v>
      </c>
      <c r="P1313" s="3176">
        <v>8.49</v>
      </c>
    </row>
    <row r="1314" spans="1:16" ht="15" thickBot="1">
      <c r="A1314" s="3174">
        <v>1312</v>
      </c>
      <c r="B1314" s="3175" t="s">
        <v>4755</v>
      </c>
      <c r="C1314" s="3176">
        <v>112.38</v>
      </c>
      <c r="D1314" s="3176">
        <v>35.380000000000003</v>
      </c>
      <c r="F1314" s="3177">
        <v>1312</v>
      </c>
      <c r="G1314" s="3175" t="s">
        <v>4721</v>
      </c>
      <c r="H1314" s="3178">
        <v>-3035</v>
      </c>
      <c r="I1314" s="3179">
        <v>8.52</v>
      </c>
      <c r="J1314" s="3179">
        <v>2.68</v>
      </c>
      <c r="L1314" s="3177">
        <v>1312</v>
      </c>
      <c r="M1314" s="3175">
        <v>-10526</v>
      </c>
      <c r="N1314" s="3175" t="s">
        <v>4187</v>
      </c>
      <c r="O1314" s="3176">
        <v>26.98</v>
      </c>
      <c r="P1314" s="3176">
        <v>8.49</v>
      </c>
    </row>
    <row r="1315" spans="1:16" ht="15" thickBot="1">
      <c r="A1315" s="3174">
        <v>1313</v>
      </c>
      <c r="B1315" s="3175" t="s">
        <v>4756</v>
      </c>
      <c r="C1315" s="3176">
        <v>88.33</v>
      </c>
      <c r="D1315" s="3176">
        <v>27.81</v>
      </c>
      <c r="F1315" s="3177">
        <v>1313</v>
      </c>
      <c r="G1315" s="3175" t="s">
        <v>4721</v>
      </c>
      <c r="H1315" s="3178">
        <v>-3036</v>
      </c>
      <c r="I1315" s="3179">
        <v>8.5299999999999994</v>
      </c>
      <c r="J1315" s="3179">
        <v>2.69</v>
      </c>
      <c r="L1315" s="3177">
        <v>1313</v>
      </c>
      <c r="M1315" s="3175">
        <v>-10527</v>
      </c>
      <c r="N1315" s="3175" t="s">
        <v>4187</v>
      </c>
      <c r="O1315" s="3176">
        <v>26.98</v>
      </c>
      <c r="P1315" s="3176">
        <v>8.49</v>
      </c>
    </row>
    <row r="1316" spans="1:16" ht="15" thickBot="1">
      <c r="A1316" s="3174">
        <v>1314</v>
      </c>
      <c r="B1316" s="3175" t="s">
        <v>4757</v>
      </c>
      <c r="C1316" s="3176">
        <v>88.92</v>
      </c>
      <c r="D1316" s="3176">
        <v>28</v>
      </c>
      <c r="F1316" s="3177">
        <v>1314</v>
      </c>
      <c r="G1316" s="3175" t="s">
        <v>4721</v>
      </c>
      <c r="H1316" s="3178">
        <v>-3037</v>
      </c>
      <c r="I1316" s="3179">
        <v>8.4</v>
      </c>
      <c r="J1316" s="3179">
        <v>2.64</v>
      </c>
      <c r="L1316" s="3177">
        <v>1314</v>
      </c>
      <c r="M1316" s="3175">
        <v>-10528</v>
      </c>
      <c r="N1316" s="3175" t="s">
        <v>4187</v>
      </c>
      <c r="O1316" s="3176">
        <v>26.98</v>
      </c>
      <c r="P1316" s="3176">
        <v>8.49</v>
      </c>
    </row>
    <row r="1317" spans="1:16" ht="15" thickBot="1">
      <c r="A1317" s="3174">
        <v>1315</v>
      </c>
      <c r="B1317" s="3175" t="s">
        <v>4758</v>
      </c>
      <c r="C1317" s="3176">
        <v>88.92</v>
      </c>
      <c r="D1317" s="3176">
        <v>28</v>
      </c>
      <c r="F1317" s="3177">
        <v>1315</v>
      </c>
      <c r="G1317" s="3175" t="s">
        <v>4721</v>
      </c>
      <c r="H1317" s="3178">
        <v>-3038</v>
      </c>
      <c r="I1317" s="3179">
        <v>11.26</v>
      </c>
      <c r="J1317" s="3179">
        <v>3.55</v>
      </c>
      <c r="L1317" s="3177">
        <v>1315</v>
      </c>
      <c r="M1317" s="3175">
        <v>-10529</v>
      </c>
      <c r="N1317" s="3175" t="s">
        <v>4187</v>
      </c>
      <c r="O1317" s="3176">
        <v>26.98</v>
      </c>
      <c r="P1317" s="3176">
        <v>8.49</v>
      </c>
    </row>
    <row r="1318" spans="1:16" ht="15" thickBot="1">
      <c r="A1318" s="3174">
        <v>1316</v>
      </c>
      <c r="B1318" s="3175" t="s">
        <v>4759</v>
      </c>
      <c r="C1318" s="3176">
        <v>112.38</v>
      </c>
      <c r="D1318" s="3176">
        <v>35.380000000000003</v>
      </c>
      <c r="F1318" s="3177">
        <v>1316</v>
      </c>
      <c r="G1318" s="3175" t="s">
        <v>4721</v>
      </c>
      <c r="H1318" s="3178">
        <v>-3039</v>
      </c>
      <c r="I1318" s="3179">
        <v>5.87</v>
      </c>
      <c r="J1318" s="3179">
        <v>1.85</v>
      </c>
      <c r="L1318" s="3177">
        <v>1316</v>
      </c>
      <c r="M1318" s="3175">
        <v>-10530</v>
      </c>
      <c r="N1318" s="3175" t="s">
        <v>4187</v>
      </c>
      <c r="O1318" s="3176">
        <v>26.98</v>
      </c>
      <c r="P1318" s="3176">
        <v>8.49</v>
      </c>
    </row>
    <row r="1319" spans="1:16" ht="15" thickBot="1">
      <c r="A1319" s="3174">
        <v>1317</v>
      </c>
      <c r="B1319" s="3175" t="s">
        <v>4760</v>
      </c>
      <c r="C1319" s="3176">
        <v>88.33</v>
      </c>
      <c r="D1319" s="3176">
        <v>27.81</v>
      </c>
      <c r="F1319" s="3177">
        <v>1317</v>
      </c>
      <c r="G1319" s="3175" t="s">
        <v>4721</v>
      </c>
      <c r="H1319" s="3178">
        <v>-3040</v>
      </c>
      <c r="I1319" s="3179">
        <v>6.82</v>
      </c>
      <c r="J1319" s="3179">
        <v>2.15</v>
      </c>
      <c r="L1319" s="3177">
        <v>1317</v>
      </c>
      <c r="M1319" s="3175">
        <v>-10531</v>
      </c>
      <c r="N1319" s="3175" t="s">
        <v>4187</v>
      </c>
      <c r="O1319" s="3176">
        <v>26.98</v>
      </c>
      <c r="P1319" s="3176">
        <v>8.49</v>
      </c>
    </row>
    <row r="1320" spans="1:16" ht="15" thickBot="1">
      <c r="A1320" s="3174">
        <v>1318</v>
      </c>
      <c r="B1320" s="3175" t="s">
        <v>4761</v>
      </c>
      <c r="C1320" s="3176">
        <v>88.92</v>
      </c>
      <c r="D1320" s="3176">
        <v>28</v>
      </c>
      <c r="F1320" s="3177">
        <v>1318</v>
      </c>
      <c r="G1320" s="3175" t="s">
        <v>4721</v>
      </c>
      <c r="H1320" s="3178">
        <v>-3041</v>
      </c>
      <c r="I1320" s="3179">
        <v>6.45</v>
      </c>
      <c r="J1320" s="3179">
        <v>2.0299999999999998</v>
      </c>
      <c r="L1320" s="3177">
        <v>1318</v>
      </c>
      <c r="M1320" s="3175">
        <v>-10532</v>
      </c>
      <c r="N1320" s="3175" t="s">
        <v>4187</v>
      </c>
      <c r="O1320" s="3176">
        <v>26.98</v>
      </c>
      <c r="P1320" s="3176">
        <v>8.49</v>
      </c>
    </row>
    <row r="1321" spans="1:16" ht="15" thickBot="1">
      <c r="A1321" s="3174">
        <v>1319</v>
      </c>
      <c r="B1321" s="3175" t="s">
        <v>4762</v>
      </c>
      <c r="C1321" s="3176">
        <v>88.92</v>
      </c>
      <c r="D1321" s="3176">
        <v>28</v>
      </c>
      <c r="F1321" s="3177">
        <v>1319</v>
      </c>
      <c r="G1321" s="3175" t="s">
        <v>4721</v>
      </c>
      <c r="H1321" s="3178">
        <v>-3042</v>
      </c>
      <c r="I1321" s="3179">
        <v>7.73</v>
      </c>
      <c r="J1321" s="3179">
        <v>2.4300000000000002</v>
      </c>
      <c r="L1321" s="3177">
        <v>1319</v>
      </c>
      <c r="M1321" s="3175">
        <v>-10533</v>
      </c>
      <c r="N1321" s="3175" t="s">
        <v>4187</v>
      </c>
      <c r="O1321" s="3176">
        <v>26.98</v>
      </c>
      <c r="P1321" s="3176">
        <v>8.49</v>
      </c>
    </row>
    <row r="1322" spans="1:16" ht="15" thickBot="1">
      <c r="A1322" s="3174">
        <v>1320</v>
      </c>
      <c r="B1322" s="3175" t="s">
        <v>4763</v>
      </c>
      <c r="C1322" s="3176">
        <v>112.38</v>
      </c>
      <c r="D1322" s="3176">
        <v>35.380000000000003</v>
      </c>
      <c r="F1322" s="3177">
        <v>1320</v>
      </c>
      <c r="G1322" s="3175" t="s">
        <v>4721</v>
      </c>
      <c r="H1322" s="3178">
        <v>-3043</v>
      </c>
      <c r="I1322" s="3179">
        <v>7.96</v>
      </c>
      <c r="J1322" s="3179">
        <v>2.5099999999999998</v>
      </c>
      <c r="L1322" s="3177">
        <v>1320</v>
      </c>
      <c r="M1322" s="3175">
        <v>-10534</v>
      </c>
      <c r="N1322" s="3175" t="s">
        <v>4187</v>
      </c>
      <c r="O1322" s="3176">
        <v>26.98</v>
      </c>
      <c r="P1322" s="3176">
        <v>8.49</v>
      </c>
    </row>
    <row r="1323" spans="1:16" ht="15" thickBot="1">
      <c r="A1323" s="3174">
        <v>1321</v>
      </c>
      <c r="B1323" s="3175" t="s">
        <v>4764</v>
      </c>
      <c r="C1323" s="3176">
        <v>88.33</v>
      </c>
      <c r="D1323" s="3176">
        <v>27.81</v>
      </c>
      <c r="F1323" s="3177">
        <v>1321</v>
      </c>
      <c r="G1323" s="3175" t="s">
        <v>4721</v>
      </c>
      <c r="H1323" s="3178">
        <v>-3044</v>
      </c>
      <c r="I1323" s="3179">
        <v>8.18</v>
      </c>
      <c r="J1323" s="3179">
        <v>2.58</v>
      </c>
      <c r="L1323" s="3177">
        <v>1321</v>
      </c>
      <c r="M1323" s="3175">
        <v>-10535</v>
      </c>
      <c r="N1323" s="3175" t="s">
        <v>4187</v>
      </c>
      <c r="O1323" s="3176">
        <v>26.98</v>
      </c>
      <c r="P1323" s="3176">
        <v>8.49</v>
      </c>
    </row>
    <row r="1324" spans="1:16" ht="15" thickBot="1">
      <c r="A1324" s="3174">
        <v>1322</v>
      </c>
      <c r="B1324" s="3175" t="s">
        <v>4765</v>
      </c>
      <c r="C1324" s="3176">
        <v>88.92</v>
      </c>
      <c r="D1324" s="3176">
        <v>28</v>
      </c>
      <c r="F1324" s="3177">
        <v>1322</v>
      </c>
      <c r="G1324" s="3175" t="s">
        <v>4721</v>
      </c>
      <c r="H1324" s="3178">
        <v>-3045</v>
      </c>
      <c r="I1324" s="3179">
        <v>9.64</v>
      </c>
      <c r="J1324" s="3179">
        <v>3.04</v>
      </c>
      <c r="L1324" s="3177">
        <v>1322</v>
      </c>
      <c r="M1324" s="3175">
        <v>-10536</v>
      </c>
      <c r="N1324" s="3175" t="s">
        <v>4187</v>
      </c>
      <c r="O1324" s="3176">
        <v>26.98</v>
      </c>
      <c r="P1324" s="3176">
        <v>8.49</v>
      </c>
    </row>
    <row r="1325" spans="1:16" ht="15" thickBot="1">
      <c r="A1325" s="3174">
        <v>1323</v>
      </c>
      <c r="B1325" s="3175" t="s">
        <v>4766</v>
      </c>
      <c r="C1325" s="3176">
        <v>88.92</v>
      </c>
      <c r="D1325" s="3176">
        <v>28</v>
      </c>
      <c r="F1325" s="3177">
        <v>1323</v>
      </c>
      <c r="G1325" s="3175" t="s">
        <v>4721</v>
      </c>
      <c r="H1325" s="3178">
        <v>-3046</v>
      </c>
      <c r="I1325" s="3179">
        <v>8.64</v>
      </c>
      <c r="J1325" s="3179">
        <v>2.72</v>
      </c>
      <c r="L1325" s="3177">
        <v>1323</v>
      </c>
      <c r="M1325" s="3175">
        <v>-10537</v>
      </c>
      <c r="N1325" s="3175" t="s">
        <v>4187</v>
      </c>
      <c r="O1325" s="3176">
        <v>26.98</v>
      </c>
      <c r="P1325" s="3176">
        <v>8.49</v>
      </c>
    </row>
    <row r="1326" spans="1:16" ht="15" thickBot="1">
      <c r="A1326" s="3174">
        <v>1324</v>
      </c>
      <c r="B1326" s="3175" t="s">
        <v>4767</v>
      </c>
      <c r="C1326" s="3176">
        <v>112.38</v>
      </c>
      <c r="D1326" s="3176">
        <v>35.380000000000003</v>
      </c>
      <c r="F1326" s="3177">
        <v>1324</v>
      </c>
      <c r="G1326" s="3175" t="s">
        <v>4721</v>
      </c>
      <c r="H1326" s="3178">
        <v>-3047</v>
      </c>
      <c r="I1326" s="3179">
        <v>8.77</v>
      </c>
      <c r="J1326" s="3179">
        <v>2.76</v>
      </c>
      <c r="L1326" s="3177">
        <v>1324</v>
      </c>
      <c r="M1326" s="3175">
        <v>-10538</v>
      </c>
      <c r="N1326" s="3175" t="s">
        <v>4187</v>
      </c>
      <c r="O1326" s="3176">
        <v>26.98</v>
      </c>
      <c r="P1326" s="3176">
        <v>8.49</v>
      </c>
    </row>
    <row r="1327" spans="1:16" ht="15" thickBot="1">
      <c r="A1327" s="3174">
        <v>1325</v>
      </c>
      <c r="B1327" s="3175" t="s">
        <v>4768</v>
      </c>
      <c r="C1327" s="3176">
        <v>88.33</v>
      </c>
      <c r="D1327" s="3176">
        <v>27.81</v>
      </c>
      <c r="F1327" s="3177">
        <v>1325</v>
      </c>
      <c r="G1327" s="3175" t="s">
        <v>4721</v>
      </c>
      <c r="H1327" s="3178">
        <v>-3048</v>
      </c>
      <c r="I1327" s="3179">
        <v>8.64</v>
      </c>
      <c r="J1327" s="3179">
        <v>2.72</v>
      </c>
      <c r="L1327" s="3177">
        <v>1325</v>
      </c>
      <c r="M1327" s="3175">
        <v>-10539</v>
      </c>
      <c r="N1327" s="3175" t="s">
        <v>4187</v>
      </c>
      <c r="O1327" s="3176">
        <v>26.98</v>
      </c>
      <c r="P1327" s="3176">
        <v>8.49</v>
      </c>
    </row>
    <row r="1328" spans="1:16" ht="15" thickBot="1">
      <c r="A1328" s="3174">
        <v>1326</v>
      </c>
      <c r="B1328" s="3175" t="s">
        <v>4769</v>
      </c>
      <c r="C1328" s="3176">
        <v>88.92</v>
      </c>
      <c r="D1328" s="3176">
        <v>28</v>
      </c>
      <c r="F1328" s="3177">
        <v>1326</v>
      </c>
      <c r="G1328" s="3175" t="s">
        <v>4721</v>
      </c>
      <c r="H1328" s="3178">
        <v>-3049</v>
      </c>
      <c r="I1328" s="3179">
        <v>6.23</v>
      </c>
      <c r="J1328" s="3179">
        <v>1.96</v>
      </c>
      <c r="L1328" s="3177">
        <v>1326</v>
      </c>
      <c r="M1328" s="3175">
        <v>-10540</v>
      </c>
      <c r="N1328" s="3175" t="s">
        <v>4187</v>
      </c>
      <c r="O1328" s="3176">
        <v>26.98</v>
      </c>
      <c r="P1328" s="3176">
        <v>8.49</v>
      </c>
    </row>
    <row r="1329" spans="1:16" ht="15" thickBot="1">
      <c r="A1329" s="3174">
        <v>1327</v>
      </c>
      <c r="B1329" s="3175" t="s">
        <v>4770</v>
      </c>
      <c r="C1329" s="3176">
        <v>88.92</v>
      </c>
      <c r="D1329" s="3176">
        <v>28</v>
      </c>
      <c r="F1329" s="3177">
        <v>1327</v>
      </c>
      <c r="G1329" s="3175" t="s">
        <v>4721</v>
      </c>
      <c r="H1329" s="3178">
        <v>-3050</v>
      </c>
      <c r="I1329" s="3179">
        <v>6.55</v>
      </c>
      <c r="J1329" s="3179">
        <v>2.06</v>
      </c>
      <c r="L1329" s="3177">
        <v>1327</v>
      </c>
      <c r="M1329" s="3175">
        <v>-10541</v>
      </c>
      <c r="N1329" s="3175" t="s">
        <v>4187</v>
      </c>
      <c r="O1329" s="3176">
        <v>26.98</v>
      </c>
      <c r="P1329" s="3176">
        <v>8.49</v>
      </c>
    </row>
    <row r="1330" spans="1:16" ht="15" thickBot="1">
      <c r="A1330" s="3174">
        <v>1328</v>
      </c>
      <c r="B1330" s="3175" t="s">
        <v>4771</v>
      </c>
      <c r="C1330" s="3176">
        <v>112.38</v>
      </c>
      <c r="D1330" s="3176">
        <v>35.380000000000003</v>
      </c>
      <c r="F1330" s="3177">
        <v>1328</v>
      </c>
      <c r="G1330" s="3175" t="s">
        <v>4721</v>
      </c>
      <c r="H1330" s="3178">
        <v>-3051</v>
      </c>
      <c r="I1330" s="3179">
        <v>6.55</v>
      </c>
      <c r="J1330" s="3179">
        <v>2.06</v>
      </c>
      <c r="L1330" s="3177">
        <v>1328</v>
      </c>
      <c r="M1330" s="3175">
        <v>-10542</v>
      </c>
      <c r="N1330" s="3175" t="s">
        <v>4187</v>
      </c>
      <c r="O1330" s="3176">
        <v>26.98</v>
      </c>
      <c r="P1330" s="3176">
        <v>8.49</v>
      </c>
    </row>
    <row r="1331" spans="1:16" ht="15" thickBot="1">
      <c r="A1331" s="3174">
        <v>1329</v>
      </c>
      <c r="B1331" s="3175" t="s">
        <v>4772</v>
      </c>
      <c r="C1331" s="3176">
        <v>88.33</v>
      </c>
      <c r="D1331" s="3176">
        <v>27.81</v>
      </c>
      <c r="F1331" s="3177">
        <v>1329</v>
      </c>
      <c r="G1331" s="3175" t="s">
        <v>4721</v>
      </c>
      <c r="H1331" s="3178">
        <v>-3052</v>
      </c>
      <c r="I1331" s="3179">
        <v>6.55</v>
      </c>
      <c r="J1331" s="3179">
        <v>2.06</v>
      </c>
      <c r="L1331" s="3177">
        <v>1329</v>
      </c>
      <c r="M1331" s="3175">
        <v>-10543</v>
      </c>
      <c r="N1331" s="3175" t="s">
        <v>4187</v>
      </c>
      <c r="O1331" s="3176">
        <v>26.98</v>
      </c>
      <c r="P1331" s="3176">
        <v>8.49</v>
      </c>
    </row>
    <row r="1332" spans="1:16" ht="15" thickBot="1">
      <c r="A1332" s="3174">
        <v>1330</v>
      </c>
      <c r="B1332" s="3175" t="s">
        <v>4773</v>
      </c>
      <c r="C1332" s="3176">
        <v>88.92</v>
      </c>
      <c r="D1332" s="3176">
        <v>28</v>
      </c>
      <c r="F1332" s="3177">
        <v>1330</v>
      </c>
      <c r="G1332" s="3175" t="s">
        <v>4721</v>
      </c>
      <c r="H1332" s="3178">
        <v>-3053</v>
      </c>
      <c r="I1332" s="3179">
        <v>7.47</v>
      </c>
      <c r="J1332" s="3179">
        <v>2.35</v>
      </c>
      <c r="L1332" s="3177">
        <v>1330</v>
      </c>
      <c r="M1332" s="3175">
        <v>-10544</v>
      </c>
      <c r="N1332" s="3175" t="s">
        <v>4187</v>
      </c>
      <c r="O1332" s="3176">
        <v>26.98</v>
      </c>
      <c r="P1332" s="3176">
        <v>8.49</v>
      </c>
    </row>
    <row r="1333" spans="1:16" ht="15" thickBot="1">
      <c r="A1333" s="3174">
        <v>1331</v>
      </c>
      <c r="B1333" s="3175" t="s">
        <v>4774</v>
      </c>
      <c r="C1333" s="3176">
        <v>88.92</v>
      </c>
      <c r="D1333" s="3176">
        <v>28</v>
      </c>
      <c r="F1333" s="3177">
        <v>1331</v>
      </c>
      <c r="G1333" s="3175" t="s">
        <v>4721</v>
      </c>
      <c r="H1333" s="3178">
        <v>-3054</v>
      </c>
      <c r="I1333" s="3179">
        <v>7.17</v>
      </c>
      <c r="J1333" s="3179">
        <v>2.2599999999999998</v>
      </c>
      <c r="L1333" s="3177">
        <v>1331</v>
      </c>
      <c r="M1333" s="3175">
        <v>-10545</v>
      </c>
      <c r="N1333" s="3175" t="s">
        <v>4187</v>
      </c>
      <c r="O1333" s="3176">
        <v>26.98</v>
      </c>
      <c r="P1333" s="3176">
        <v>8.49</v>
      </c>
    </row>
    <row r="1334" spans="1:16" ht="15" thickBot="1">
      <c r="A1334" s="3174">
        <v>1332</v>
      </c>
      <c r="B1334" s="3175" t="s">
        <v>4775</v>
      </c>
      <c r="C1334" s="3176">
        <v>112.38</v>
      </c>
      <c r="D1334" s="3176">
        <v>35.380000000000003</v>
      </c>
      <c r="F1334" s="3177">
        <v>1332</v>
      </c>
      <c r="G1334" s="3175" t="s">
        <v>4721</v>
      </c>
      <c r="H1334" s="3178">
        <v>-3055</v>
      </c>
      <c r="I1334" s="3179">
        <v>7.17</v>
      </c>
      <c r="J1334" s="3179">
        <v>2.2599999999999998</v>
      </c>
      <c r="L1334" s="3177">
        <v>1332</v>
      </c>
      <c r="M1334" s="3175">
        <v>-10546</v>
      </c>
      <c r="N1334" s="3175" t="s">
        <v>4187</v>
      </c>
      <c r="O1334" s="3176">
        <v>26.98</v>
      </c>
      <c r="P1334" s="3176">
        <v>8.49</v>
      </c>
    </row>
    <row r="1335" spans="1:16" ht="15" thickBot="1">
      <c r="A1335" s="3174">
        <v>1333</v>
      </c>
      <c r="B1335" s="3175" t="s">
        <v>4776</v>
      </c>
      <c r="C1335" s="3176">
        <v>88.33</v>
      </c>
      <c r="D1335" s="3176">
        <v>27.81</v>
      </c>
      <c r="F1335" s="3177">
        <v>1333</v>
      </c>
      <c r="G1335" s="3175" t="s">
        <v>4721</v>
      </c>
      <c r="H1335" s="3178">
        <v>-3056</v>
      </c>
      <c r="I1335" s="3179">
        <v>7.39</v>
      </c>
      <c r="J1335" s="3179">
        <v>2.33</v>
      </c>
      <c r="L1335" s="3177">
        <v>1333</v>
      </c>
      <c r="M1335" s="3175">
        <v>-10547</v>
      </c>
      <c r="N1335" s="3175" t="s">
        <v>4187</v>
      </c>
      <c r="O1335" s="3176">
        <v>26.98</v>
      </c>
      <c r="P1335" s="3176">
        <v>8.49</v>
      </c>
    </row>
    <row r="1336" spans="1:16" ht="15" thickBot="1">
      <c r="A1336" s="3174">
        <v>1334</v>
      </c>
      <c r="B1336" s="3175" t="s">
        <v>4777</v>
      </c>
      <c r="C1336" s="3176">
        <v>88.92</v>
      </c>
      <c r="D1336" s="3176">
        <v>28</v>
      </c>
      <c r="F1336" s="3177">
        <v>1334</v>
      </c>
      <c r="G1336" s="3175" t="s">
        <v>4721</v>
      </c>
      <c r="H1336" s="3178">
        <v>-3057</v>
      </c>
      <c r="I1336" s="3179">
        <v>8.64</v>
      </c>
      <c r="J1336" s="3179">
        <v>2.72</v>
      </c>
      <c r="L1336" s="3177">
        <v>1334</v>
      </c>
      <c r="M1336" s="3175">
        <v>-10548</v>
      </c>
      <c r="N1336" s="3175" t="s">
        <v>4187</v>
      </c>
      <c r="O1336" s="3176">
        <v>26.98</v>
      </c>
      <c r="P1336" s="3176">
        <v>8.49</v>
      </c>
    </row>
    <row r="1337" spans="1:16" ht="15" thickBot="1">
      <c r="A1337" s="3174">
        <v>1335</v>
      </c>
      <c r="B1337" s="3175" t="s">
        <v>4778</v>
      </c>
      <c r="C1337" s="3176">
        <v>88.92</v>
      </c>
      <c r="D1337" s="3176">
        <v>28</v>
      </c>
      <c r="F1337" s="3177">
        <v>1335</v>
      </c>
      <c r="G1337" s="3175" t="s">
        <v>4721</v>
      </c>
      <c r="H1337" s="3178">
        <v>-3058</v>
      </c>
      <c r="I1337" s="3179">
        <v>8.77</v>
      </c>
      <c r="J1337" s="3179">
        <v>2.76</v>
      </c>
      <c r="L1337" s="3177">
        <v>1335</v>
      </c>
      <c r="M1337" s="3175">
        <v>-10549</v>
      </c>
      <c r="N1337" s="3175" t="s">
        <v>4187</v>
      </c>
      <c r="O1337" s="3176">
        <v>26.98</v>
      </c>
      <c r="P1337" s="3176">
        <v>8.49</v>
      </c>
    </row>
    <row r="1338" spans="1:16" ht="15" thickBot="1">
      <c r="A1338" s="3174">
        <v>1336</v>
      </c>
      <c r="B1338" s="3175" t="s">
        <v>4779</v>
      </c>
      <c r="C1338" s="3176">
        <v>112.38</v>
      </c>
      <c r="D1338" s="3176">
        <v>35.380000000000003</v>
      </c>
      <c r="F1338" s="3177">
        <v>1336</v>
      </c>
      <c r="G1338" s="3175" t="s">
        <v>4721</v>
      </c>
      <c r="H1338" s="3178">
        <v>-3059</v>
      </c>
      <c r="I1338" s="3179">
        <v>8.64</v>
      </c>
      <c r="J1338" s="3179">
        <v>2.72</v>
      </c>
      <c r="L1338" s="3177">
        <v>1336</v>
      </c>
      <c r="M1338" s="3175">
        <v>-10550</v>
      </c>
      <c r="N1338" s="3175" t="s">
        <v>4187</v>
      </c>
      <c r="O1338" s="3176">
        <v>26.98</v>
      </c>
      <c r="P1338" s="3176">
        <v>8.49</v>
      </c>
    </row>
    <row r="1339" spans="1:16" ht="15" thickBot="1">
      <c r="A1339" s="3174">
        <v>1337</v>
      </c>
      <c r="B1339" s="3175" t="s">
        <v>4780</v>
      </c>
      <c r="C1339" s="3176">
        <v>88.33</v>
      </c>
      <c r="D1339" s="3176">
        <v>27.81</v>
      </c>
      <c r="F1339" s="3177">
        <v>1337</v>
      </c>
      <c r="G1339" s="3175" t="s">
        <v>4721</v>
      </c>
      <c r="H1339" s="3178">
        <v>-3060</v>
      </c>
      <c r="I1339" s="3179">
        <v>8.57</v>
      </c>
      <c r="J1339" s="3179">
        <v>2.7</v>
      </c>
      <c r="L1339" s="3177">
        <v>1337</v>
      </c>
      <c r="M1339" s="3175">
        <v>-10551</v>
      </c>
      <c r="N1339" s="3175" t="s">
        <v>4187</v>
      </c>
      <c r="O1339" s="3176">
        <v>26.98</v>
      </c>
      <c r="P1339" s="3176">
        <v>8.49</v>
      </c>
    </row>
    <row r="1340" spans="1:16" ht="15" thickBot="1">
      <c r="A1340" s="3174">
        <v>1338</v>
      </c>
      <c r="B1340" s="3175" t="s">
        <v>4781</v>
      </c>
      <c r="C1340" s="3176">
        <v>88.92</v>
      </c>
      <c r="D1340" s="3176">
        <v>28</v>
      </c>
      <c r="F1340" s="3177">
        <v>1338</v>
      </c>
      <c r="G1340" s="3175" t="s">
        <v>4721</v>
      </c>
      <c r="H1340" s="3178">
        <v>-3061</v>
      </c>
      <c r="I1340" s="3179">
        <v>7.88</v>
      </c>
      <c r="J1340" s="3179">
        <v>2.48</v>
      </c>
      <c r="L1340" s="3177">
        <v>1338</v>
      </c>
      <c r="M1340" s="3175">
        <v>-10552</v>
      </c>
      <c r="N1340" s="3175" t="s">
        <v>4187</v>
      </c>
      <c r="O1340" s="3176">
        <v>26.98</v>
      </c>
      <c r="P1340" s="3176">
        <v>8.49</v>
      </c>
    </row>
    <row r="1341" spans="1:16" ht="15" thickBot="1">
      <c r="A1341" s="3174">
        <v>1339</v>
      </c>
      <c r="B1341" s="3175" t="s">
        <v>4782</v>
      </c>
      <c r="C1341" s="3176">
        <v>88.92</v>
      </c>
      <c r="D1341" s="3176">
        <v>28</v>
      </c>
      <c r="F1341" s="3177">
        <v>1339</v>
      </c>
      <c r="G1341" s="3175" t="s">
        <v>4721</v>
      </c>
      <c r="H1341" s="3178">
        <v>-3062</v>
      </c>
      <c r="I1341" s="3179">
        <v>7.64</v>
      </c>
      <c r="J1341" s="3179">
        <v>2.41</v>
      </c>
      <c r="L1341" s="3177">
        <v>1339</v>
      </c>
      <c r="M1341" s="3175">
        <v>-10553</v>
      </c>
      <c r="N1341" s="3175" t="s">
        <v>4187</v>
      </c>
      <c r="O1341" s="3176">
        <v>26.98</v>
      </c>
      <c r="P1341" s="3176">
        <v>8.49</v>
      </c>
    </row>
    <row r="1342" spans="1:16" ht="15" thickBot="1">
      <c r="A1342" s="3174">
        <v>1340</v>
      </c>
      <c r="B1342" s="3175" t="s">
        <v>4783</v>
      </c>
      <c r="C1342" s="3176">
        <v>112.38</v>
      </c>
      <c r="D1342" s="3176">
        <v>35.380000000000003</v>
      </c>
      <c r="F1342" s="3177">
        <v>1340</v>
      </c>
      <c r="G1342" s="3175" t="s">
        <v>4721</v>
      </c>
      <c r="H1342" s="3178">
        <v>-3063</v>
      </c>
      <c r="I1342" s="3179">
        <v>14.85</v>
      </c>
      <c r="J1342" s="3179">
        <v>4.68</v>
      </c>
      <c r="L1342" s="3177">
        <v>1340</v>
      </c>
      <c r="M1342" s="3175">
        <v>-10554</v>
      </c>
      <c r="N1342" s="3175" t="s">
        <v>4187</v>
      </c>
      <c r="O1342" s="3176">
        <v>26.98</v>
      </c>
      <c r="P1342" s="3176">
        <v>8.49</v>
      </c>
    </row>
    <row r="1343" spans="1:16" ht="15" thickBot="1">
      <c r="A1343" s="3174">
        <v>1341</v>
      </c>
      <c r="B1343" s="3175" t="s">
        <v>4784</v>
      </c>
      <c r="C1343" s="3176">
        <v>88.33</v>
      </c>
      <c r="D1343" s="3176">
        <v>27.81</v>
      </c>
      <c r="F1343" s="3177">
        <v>1341</v>
      </c>
      <c r="G1343" s="3175" t="s">
        <v>4721</v>
      </c>
      <c r="H1343" s="3178">
        <v>-3064</v>
      </c>
      <c r="I1343" s="3179">
        <v>8.6199999999999992</v>
      </c>
      <c r="J1343" s="3179">
        <v>2.71</v>
      </c>
      <c r="L1343" s="3177">
        <v>1341</v>
      </c>
      <c r="M1343" s="3175">
        <v>-10555</v>
      </c>
      <c r="N1343" s="3175" t="s">
        <v>4187</v>
      </c>
      <c r="O1343" s="3176">
        <v>26.98</v>
      </c>
      <c r="P1343" s="3176">
        <v>8.49</v>
      </c>
    </row>
    <row r="1344" spans="1:16" ht="15" thickBot="1">
      <c r="A1344" s="3174">
        <v>1342</v>
      </c>
      <c r="B1344" s="3175" t="s">
        <v>4785</v>
      </c>
      <c r="C1344" s="3176">
        <v>88.92</v>
      </c>
      <c r="D1344" s="3176">
        <v>28</v>
      </c>
      <c r="F1344" s="3177">
        <v>1342</v>
      </c>
      <c r="G1344" s="3175" t="s">
        <v>4721</v>
      </c>
      <c r="H1344" s="3178">
        <v>-3065</v>
      </c>
      <c r="I1344" s="3179">
        <v>11.7</v>
      </c>
      <c r="J1344" s="3179">
        <v>3.68</v>
      </c>
      <c r="L1344" s="3177">
        <v>1342</v>
      </c>
      <c r="M1344" s="3175">
        <v>-10556</v>
      </c>
      <c r="N1344" s="3175" t="s">
        <v>4187</v>
      </c>
      <c r="O1344" s="3176">
        <v>26.98</v>
      </c>
      <c r="P1344" s="3176">
        <v>8.49</v>
      </c>
    </row>
    <row r="1345" spans="1:16" ht="15" thickBot="1">
      <c r="A1345" s="3174">
        <v>1343</v>
      </c>
      <c r="B1345" s="3175" t="s">
        <v>4786</v>
      </c>
      <c r="C1345" s="3176">
        <v>88.92</v>
      </c>
      <c r="D1345" s="3176">
        <v>28</v>
      </c>
      <c r="F1345" s="3177">
        <v>1343</v>
      </c>
      <c r="G1345" s="3175" t="s">
        <v>4721</v>
      </c>
      <c r="H1345" s="3178">
        <v>-3066</v>
      </c>
      <c r="I1345" s="3179">
        <v>8</v>
      </c>
      <c r="J1345" s="3179">
        <v>2.52</v>
      </c>
      <c r="L1345" s="3177">
        <v>1343</v>
      </c>
      <c r="M1345" s="3175">
        <v>-10557</v>
      </c>
      <c r="N1345" s="3175" t="s">
        <v>4187</v>
      </c>
      <c r="O1345" s="3176">
        <v>26.98</v>
      </c>
      <c r="P1345" s="3176">
        <v>8.49</v>
      </c>
    </row>
    <row r="1346" spans="1:16" ht="15" thickBot="1">
      <c r="A1346" s="3174">
        <v>1344</v>
      </c>
      <c r="B1346" s="3175" t="s">
        <v>4787</v>
      </c>
      <c r="C1346" s="3176">
        <v>112.38</v>
      </c>
      <c r="D1346" s="3176">
        <v>35.380000000000003</v>
      </c>
      <c r="F1346" s="3177">
        <v>1344</v>
      </c>
      <c r="G1346" s="3175" t="s">
        <v>4721</v>
      </c>
      <c r="H1346" s="3178">
        <v>-3067</v>
      </c>
      <c r="I1346" s="3179">
        <v>11.6</v>
      </c>
      <c r="J1346" s="3179">
        <v>3.65</v>
      </c>
      <c r="L1346" s="3177">
        <v>1344</v>
      </c>
      <c r="M1346" s="3175">
        <v>-10558</v>
      </c>
      <c r="N1346" s="3175" t="s">
        <v>4187</v>
      </c>
      <c r="O1346" s="3176">
        <v>26.98</v>
      </c>
      <c r="P1346" s="3176">
        <v>8.49</v>
      </c>
    </row>
    <row r="1347" spans="1:16" ht="15" thickBot="1">
      <c r="A1347" s="3174">
        <v>1345</v>
      </c>
      <c r="B1347" s="3175" t="s">
        <v>4788</v>
      </c>
      <c r="C1347" s="3176">
        <v>88.33</v>
      </c>
      <c r="D1347" s="3176">
        <v>27.81</v>
      </c>
      <c r="F1347" s="3177">
        <v>1345</v>
      </c>
      <c r="G1347" s="3175" t="s">
        <v>4721</v>
      </c>
      <c r="H1347" s="3178">
        <v>-3068</v>
      </c>
      <c r="I1347" s="3179">
        <v>11.6</v>
      </c>
      <c r="J1347" s="3179">
        <v>3.65</v>
      </c>
      <c r="L1347" s="3177">
        <v>1345</v>
      </c>
      <c r="M1347" s="3175">
        <v>-10559</v>
      </c>
      <c r="N1347" s="3175" t="s">
        <v>4187</v>
      </c>
      <c r="O1347" s="3176">
        <v>26.98</v>
      </c>
      <c r="P1347" s="3176">
        <v>8.49</v>
      </c>
    </row>
    <row r="1348" spans="1:16" ht="15" thickBot="1">
      <c r="A1348" s="3174">
        <v>1346</v>
      </c>
      <c r="B1348" s="3175" t="s">
        <v>4789</v>
      </c>
      <c r="C1348" s="3176">
        <v>88.92</v>
      </c>
      <c r="D1348" s="3176">
        <v>28</v>
      </c>
      <c r="F1348" s="3177">
        <v>1346</v>
      </c>
      <c r="G1348" s="3175" t="s">
        <v>4721</v>
      </c>
      <c r="H1348" s="3178">
        <v>-3069</v>
      </c>
      <c r="I1348" s="3179">
        <v>11.73</v>
      </c>
      <c r="J1348" s="3179">
        <v>3.69</v>
      </c>
      <c r="L1348" s="3177">
        <v>1346</v>
      </c>
      <c r="M1348" s="3175">
        <v>-10560</v>
      </c>
      <c r="N1348" s="3175" t="s">
        <v>4187</v>
      </c>
      <c r="O1348" s="3176">
        <v>26.98</v>
      </c>
      <c r="P1348" s="3176">
        <v>8.49</v>
      </c>
    </row>
    <row r="1349" spans="1:16" ht="15" thickBot="1">
      <c r="A1349" s="3174">
        <v>1347</v>
      </c>
      <c r="B1349" s="3175" t="s">
        <v>4790</v>
      </c>
      <c r="C1349" s="3176">
        <v>88.92</v>
      </c>
      <c r="D1349" s="3176">
        <v>28</v>
      </c>
      <c r="F1349" s="3177">
        <v>1347</v>
      </c>
      <c r="G1349" s="3175" t="s">
        <v>4721</v>
      </c>
      <c r="H1349" s="3178">
        <v>-3070</v>
      </c>
      <c r="I1349" s="3179">
        <v>11.73</v>
      </c>
      <c r="J1349" s="3179">
        <v>3.69</v>
      </c>
      <c r="L1349" s="3177">
        <v>1347</v>
      </c>
      <c r="M1349" s="3175">
        <v>-10561</v>
      </c>
      <c r="N1349" s="3175" t="s">
        <v>4187</v>
      </c>
      <c r="O1349" s="3176">
        <v>26.98</v>
      </c>
      <c r="P1349" s="3176">
        <v>8.49</v>
      </c>
    </row>
    <row r="1350" spans="1:16" ht="15" thickBot="1">
      <c r="A1350" s="3174">
        <v>1348</v>
      </c>
      <c r="B1350" s="3175" t="s">
        <v>4791</v>
      </c>
      <c r="C1350" s="3176">
        <v>112.38</v>
      </c>
      <c r="D1350" s="3176">
        <v>35.380000000000003</v>
      </c>
      <c r="F1350" s="3177">
        <v>1348</v>
      </c>
      <c r="G1350" s="3175" t="s">
        <v>4721</v>
      </c>
      <c r="H1350" s="3178">
        <v>-3071</v>
      </c>
      <c r="I1350" s="3179">
        <v>7.64</v>
      </c>
      <c r="J1350" s="3179">
        <v>2.41</v>
      </c>
      <c r="L1350" s="3177">
        <v>1348</v>
      </c>
      <c r="M1350" s="3175">
        <v>-10562</v>
      </c>
      <c r="N1350" s="3175" t="s">
        <v>4187</v>
      </c>
      <c r="O1350" s="3176">
        <v>26.98</v>
      </c>
      <c r="P1350" s="3176">
        <v>8.49</v>
      </c>
    </row>
    <row r="1351" spans="1:16" ht="15" thickBot="1">
      <c r="A1351" s="3174">
        <v>1349</v>
      </c>
      <c r="B1351" s="3175" t="s">
        <v>4792</v>
      </c>
      <c r="C1351" s="3176">
        <v>88.33</v>
      </c>
      <c r="D1351" s="3176">
        <v>27.81</v>
      </c>
      <c r="F1351" s="3177">
        <v>1349</v>
      </c>
      <c r="G1351" s="3175" t="s">
        <v>4721</v>
      </c>
      <c r="H1351" s="3178">
        <v>-3072</v>
      </c>
      <c r="I1351" s="3179">
        <v>8.1</v>
      </c>
      <c r="J1351" s="3179">
        <v>2.5499999999999998</v>
      </c>
      <c r="L1351" s="3177">
        <v>1349</v>
      </c>
      <c r="M1351" s="3175">
        <v>-10563</v>
      </c>
      <c r="N1351" s="3175" t="s">
        <v>4187</v>
      </c>
      <c r="O1351" s="3176">
        <v>26.98</v>
      </c>
      <c r="P1351" s="3176">
        <v>8.49</v>
      </c>
    </row>
    <row r="1352" spans="1:16" ht="15" thickBot="1">
      <c r="A1352" s="3174">
        <v>1350</v>
      </c>
      <c r="B1352" s="3175" t="s">
        <v>4793</v>
      </c>
      <c r="C1352" s="3176">
        <v>88.92</v>
      </c>
      <c r="D1352" s="3176">
        <v>28</v>
      </c>
      <c r="F1352" s="3177">
        <v>1350</v>
      </c>
      <c r="G1352" s="3175" t="s">
        <v>4721</v>
      </c>
      <c r="H1352" s="3178">
        <v>-3073</v>
      </c>
      <c r="I1352" s="3179">
        <v>8.33</v>
      </c>
      <c r="J1352" s="3179">
        <v>2.62</v>
      </c>
      <c r="L1352" s="3177">
        <v>1350</v>
      </c>
      <c r="M1352" s="3175">
        <v>-10564</v>
      </c>
      <c r="N1352" s="3175" t="s">
        <v>4187</v>
      </c>
      <c r="O1352" s="3176">
        <v>26.98</v>
      </c>
      <c r="P1352" s="3176">
        <v>8.49</v>
      </c>
    </row>
    <row r="1353" spans="1:16" ht="15" thickBot="1">
      <c r="A1353" s="3174">
        <v>1351</v>
      </c>
      <c r="B1353" s="3175" t="s">
        <v>4794</v>
      </c>
      <c r="C1353" s="3176">
        <v>88.92</v>
      </c>
      <c r="D1353" s="3176">
        <v>28</v>
      </c>
      <c r="F1353" s="3177">
        <v>1351</v>
      </c>
      <c r="G1353" s="3175" t="s">
        <v>4721</v>
      </c>
      <c r="H1353" s="3178">
        <v>-3074</v>
      </c>
      <c r="I1353" s="3179">
        <v>8.64</v>
      </c>
      <c r="J1353" s="3179">
        <v>2.72</v>
      </c>
      <c r="L1353" s="3177">
        <v>1351</v>
      </c>
      <c r="M1353" s="3175">
        <v>-10565</v>
      </c>
      <c r="N1353" s="3175" t="s">
        <v>4187</v>
      </c>
      <c r="O1353" s="3176">
        <v>26.98</v>
      </c>
      <c r="P1353" s="3176">
        <v>8.49</v>
      </c>
    </row>
    <row r="1354" spans="1:16" ht="15" thickBot="1">
      <c r="A1354" s="3174">
        <v>1352</v>
      </c>
      <c r="B1354" s="3175" t="s">
        <v>4795</v>
      </c>
      <c r="C1354" s="3176">
        <v>112.38</v>
      </c>
      <c r="D1354" s="3176">
        <v>35.380000000000003</v>
      </c>
      <c r="F1354" s="3177">
        <v>1352</v>
      </c>
      <c r="G1354" s="3175" t="s">
        <v>4721</v>
      </c>
      <c r="H1354" s="3178">
        <v>-3075</v>
      </c>
      <c r="I1354" s="3179">
        <v>8.77</v>
      </c>
      <c r="J1354" s="3179">
        <v>2.76</v>
      </c>
      <c r="L1354" s="3177">
        <v>1352</v>
      </c>
      <c r="M1354" s="3175">
        <v>-10566</v>
      </c>
      <c r="N1354" s="3175" t="s">
        <v>4187</v>
      </c>
      <c r="O1354" s="3176">
        <v>26.98</v>
      </c>
      <c r="P1354" s="3176">
        <v>8.49</v>
      </c>
    </row>
    <row r="1355" spans="1:16" ht="15" thickBot="1">
      <c r="A1355" s="3174">
        <v>1353</v>
      </c>
      <c r="B1355" s="3175" t="s">
        <v>4796</v>
      </c>
      <c r="C1355" s="3176">
        <v>88.33</v>
      </c>
      <c r="D1355" s="3176">
        <v>27.81</v>
      </c>
      <c r="F1355" s="3177">
        <v>1353</v>
      </c>
      <c r="G1355" s="3175" t="s">
        <v>4721</v>
      </c>
      <c r="H1355" s="3178">
        <v>-3076</v>
      </c>
      <c r="I1355" s="3179">
        <v>8.64</v>
      </c>
      <c r="J1355" s="3179">
        <v>2.72</v>
      </c>
      <c r="L1355" s="3177">
        <v>1353</v>
      </c>
      <c r="M1355" s="3175">
        <v>-10567</v>
      </c>
      <c r="N1355" s="3175" t="s">
        <v>4187</v>
      </c>
      <c r="O1355" s="3176">
        <v>26.98</v>
      </c>
      <c r="P1355" s="3176">
        <v>8.49</v>
      </c>
    </row>
    <row r="1356" spans="1:16" ht="15" thickBot="1">
      <c r="A1356" s="3174">
        <v>1354</v>
      </c>
      <c r="B1356" s="3175" t="s">
        <v>4797</v>
      </c>
      <c r="C1356" s="3176">
        <v>88.92</v>
      </c>
      <c r="D1356" s="3176">
        <v>28</v>
      </c>
      <c r="F1356" s="3177">
        <v>1354</v>
      </c>
      <c r="G1356" s="3175" t="s">
        <v>4721</v>
      </c>
      <c r="H1356" s="3178">
        <v>-3077</v>
      </c>
      <c r="I1356" s="3179">
        <v>7.39</v>
      </c>
      <c r="J1356" s="3179">
        <v>2.33</v>
      </c>
      <c r="L1356" s="3177">
        <v>1354</v>
      </c>
      <c r="M1356" s="3175">
        <v>-10568</v>
      </c>
      <c r="N1356" s="3175" t="s">
        <v>4187</v>
      </c>
      <c r="O1356" s="3176">
        <v>26.98</v>
      </c>
      <c r="P1356" s="3176">
        <v>8.49</v>
      </c>
    </row>
    <row r="1357" spans="1:16" ht="15" thickBot="1">
      <c r="A1357" s="3174">
        <v>1355</v>
      </c>
      <c r="B1357" s="3175" t="s">
        <v>4798</v>
      </c>
      <c r="C1357" s="3176">
        <v>88.92</v>
      </c>
      <c r="D1357" s="3176">
        <v>28</v>
      </c>
      <c r="F1357" s="3177">
        <v>1355</v>
      </c>
      <c r="G1357" s="3175" t="s">
        <v>4721</v>
      </c>
      <c r="H1357" s="3178">
        <v>-3078</v>
      </c>
      <c r="I1357" s="3179">
        <v>7.17</v>
      </c>
      <c r="J1357" s="3179">
        <v>2.2599999999999998</v>
      </c>
      <c r="L1357" s="3177">
        <v>1355</v>
      </c>
      <c r="M1357" s="3175">
        <v>-10569</v>
      </c>
      <c r="N1357" s="3175" t="s">
        <v>4187</v>
      </c>
      <c r="O1357" s="3176">
        <v>26.98</v>
      </c>
      <c r="P1357" s="3176">
        <v>8.49</v>
      </c>
    </row>
    <row r="1358" spans="1:16" ht="15" thickBot="1">
      <c r="A1358" s="3174">
        <v>1356</v>
      </c>
      <c r="B1358" s="3175" t="s">
        <v>4799</v>
      </c>
      <c r="C1358" s="3176">
        <v>112.38</v>
      </c>
      <c r="D1358" s="3176">
        <v>35.380000000000003</v>
      </c>
      <c r="F1358" s="3177">
        <v>1356</v>
      </c>
      <c r="G1358" s="3175" t="s">
        <v>4721</v>
      </c>
      <c r="H1358" s="3178">
        <v>-3079</v>
      </c>
      <c r="I1358" s="3179">
        <v>7.17</v>
      </c>
      <c r="J1358" s="3179">
        <v>2.2599999999999998</v>
      </c>
      <c r="L1358" s="3177">
        <v>1356</v>
      </c>
      <c r="M1358" s="3175">
        <v>-10570</v>
      </c>
      <c r="N1358" s="3175" t="s">
        <v>4187</v>
      </c>
      <c r="O1358" s="3176">
        <v>26.98</v>
      </c>
      <c r="P1358" s="3176">
        <v>8.49</v>
      </c>
    </row>
    <row r="1359" spans="1:16" ht="15" thickBot="1">
      <c r="A1359" s="3174">
        <v>1357</v>
      </c>
      <c r="B1359" s="3175" t="s">
        <v>4800</v>
      </c>
      <c r="C1359" s="3176">
        <v>88.33</v>
      </c>
      <c r="D1359" s="3176">
        <v>27.81</v>
      </c>
      <c r="F1359" s="3177">
        <v>1357</v>
      </c>
      <c r="G1359" s="3175" t="s">
        <v>4721</v>
      </c>
      <c r="H1359" s="3178">
        <v>-3080</v>
      </c>
      <c r="I1359" s="3179">
        <v>7.47</v>
      </c>
      <c r="J1359" s="3179">
        <v>2.35</v>
      </c>
      <c r="L1359" s="3177">
        <v>1357</v>
      </c>
      <c r="M1359" s="3175">
        <v>-10571</v>
      </c>
      <c r="N1359" s="3175" t="s">
        <v>4187</v>
      </c>
      <c r="O1359" s="3176">
        <v>26.98</v>
      </c>
      <c r="P1359" s="3176">
        <v>8.49</v>
      </c>
    </row>
    <row r="1360" spans="1:16" ht="15" thickBot="1">
      <c r="A1360" s="3174">
        <v>1358</v>
      </c>
      <c r="B1360" s="3175" t="s">
        <v>4801</v>
      </c>
      <c r="C1360" s="3176">
        <v>88.92</v>
      </c>
      <c r="D1360" s="3176">
        <v>28</v>
      </c>
      <c r="F1360" s="3177">
        <v>1358</v>
      </c>
      <c r="G1360" s="3175" t="s">
        <v>4721</v>
      </c>
      <c r="H1360" s="3178">
        <v>-3081</v>
      </c>
      <c r="I1360" s="3179">
        <v>7.47</v>
      </c>
      <c r="J1360" s="3179">
        <v>2.35</v>
      </c>
      <c r="L1360" s="3177">
        <v>1358</v>
      </c>
      <c r="M1360" s="3175">
        <v>-10572</v>
      </c>
      <c r="N1360" s="3175" t="s">
        <v>4187</v>
      </c>
      <c r="O1360" s="3176">
        <v>26.98</v>
      </c>
      <c r="P1360" s="3176">
        <v>8.49</v>
      </c>
    </row>
    <row r="1361" spans="1:16" ht="15" thickBot="1">
      <c r="A1361" s="3174">
        <v>1359</v>
      </c>
      <c r="B1361" s="3175" t="s">
        <v>4802</v>
      </c>
      <c r="C1361" s="3176">
        <v>88.92</v>
      </c>
      <c r="D1361" s="3176">
        <v>28</v>
      </c>
      <c r="F1361" s="3177">
        <v>1359</v>
      </c>
      <c r="G1361" s="3175" t="s">
        <v>4721</v>
      </c>
      <c r="H1361" s="3178">
        <v>-3082</v>
      </c>
      <c r="I1361" s="3179">
        <v>7.17</v>
      </c>
      <c r="J1361" s="3179">
        <v>2.2599999999999998</v>
      </c>
      <c r="L1361" s="3177">
        <v>1359</v>
      </c>
      <c r="M1361" s="3175">
        <v>-10573</v>
      </c>
      <c r="N1361" s="3175" t="s">
        <v>4187</v>
      </c>
      <c r="O1361" s="3176">
        <v>26.98</v>
      </c>
      <c r="P1361" s="3176">
        <v>8.49</v>
      </c>
    </row>
    <row r="1362" spans="1:16" ht="15" thickBot="1">
      <c r="A1362" s="3174">
        <v>1360</v>
      </c>
      <c r="B1362" s="3175" t="s">
        <v>4803</v>
      </c>
      <c r="C1362" s="3176">
        <v>112.38</v>
      </c>
      <c r="D1362" s="3176">
        <v>35.380000000000003</v>
      </c>
      <c r="F1362" s="3177">
        <v>1360</v>
      </c>
      <c r="G1362" s="3175" t="s">
        <v>4721</v>
      </c>
      <c r="H1362" s="3178">
        <v>-3083</v>
      </c>
      <c r="I1362" s="3179">
        <v>7.17</v>
      </c>
      <c r="J1362" s="3179">
        <v>2.2599999999999998</v>
      </c>
      <c r="L1362" s="3177">
        <v>1360</v>
      </c>
      <c r="M1362" s="3175">
        <v>-10574</v>
      </c>
      <c r="N1362" s="3175" t="s">
        <v>4187</v>
      </c>
      <c r="O1362" s="3176">
        <v>26.98</v>
      </c>
      <c r="P1362" s="3176">
        <v>8.49</v>
      </c>
    </row>
    <row r="1363" spans="1:16" ht="15" thickBot="1">
      <c r="A1363" s="3174">
        <v>1361</v>
      </c>
      <c r="B1363" s="3175" t="s">
        <v>4804</v>
      </c>
      <c r="C1363" s="3176">
        <v>88.33</v>
      </c>
      <c r="D1363" s="3176">
        <v>27.81</v>
      </c>
      <c r="F1363" s="3177">
        <v>1361</v>
      </c>
      <c r="G1363" s="3175" t="s">
        <v>4721</v>
      </c>
      <c r="H1363" s="3178">
        <v>-3084</v>
      </c>
      <c r="I1363" s="3179">
        <v>7.39</v>
      </c>
      <c r="J1363" s="3179">
        <v>2.33</v>
      </c>
      <c r="L1363" s="3177">
        <v>1361</v>
      </c>
      <c r="M1363" s="3175">
        <v>-10575</v>
      </c>
      <c r="N1363" s="3175" t="s">
        <v>4187</v>
      </c>
      <c r="O1363" s="3176">
        <v>26.98</v>
      </c>
      <c r="P1363" s="3176">
        <v>8.49</v>
      </c>
    </row>
    <row r="1364" spans="1:16" ht="15" thickBot="1">
      <c r="A1364" s="3174">
        <v>1362</v>
      </c>
      <c r="B1364" s="3175" t="s">
        <v>4805</v>
      </c>
      <c r="C1364" s="3176">
        <v>88.92</v>
      </c>
      <c r="D1364" s="3176">
        <v>28</v>
      </c>
      <c r="F1364" s="3177">
        <v>1362</v>
      </c>
      <c r="G1364" s="3175" t="s">
        <v>4721</v>
      </c>
      <c r="H1364" s="3178">
        <v>-3085</v>
      </c>
      <c r="I1364" s="3179">
        <v>8.64</v>
      </c>
      <c r="J1364" s="3179">
        <v>2.72</v>
      </c>
      <c r="L1364" s="3177">
        <v>1362</v>
      </c>
      <c r="M1364" s="3175">
        <v>-10576</v>
      </c>
      <c r="N1364" s="3175" t="s">
        <v>4187</v>
      </c>
      <c r="O1364" s="3176">
        <v>26.98</v>
      </c>
      <c r="P1364" s="3176">
        <v>8.49</v>
      </c>
    </row>
    <row r="1365" spans="1:16" ht="15" thickBot="1">
      <c r="A1365" s="3174">
        <v>1363</v>
      </c>
      <c r="B1365" s="3175" t="s">
        <v>4806</v>
      </c>
      <c r="C1365" s="3176">
        <v>88.92</v>
      </c>
      <c r="D1365" s="3176">
        <v>28</v>
      </c>
      <c r="F1365" s="3177">
        <v>1363</v>
      </c>
      <c r="G1365" s="3175" t="s">
        <v>4721</v>
      </c>
      <c r="H1365" s="3178">
        <v>-3086</v>
      </c>
      <c r="I1365" s="3179">
        <v>8.77</v>
      </c>
      <c r="J1365" s="3179">
        <v>2.76</v>
      </c>
      <c r="L1365" s="3177">
        <v>1363</v>
      </c>
      <c r="M1365" s="3175">
        <v>-10577</v>
      </c>
      <c r="N1365" s="3175" t="s">
        <v>4187</v>
      </c>
      <c r="O1365" s="3176">
        <v>26.98</v>
      </c>
      <c r="P1365" s="3176">
        <v>8.49</v>
      </c>
    </row>
    <row r="1366" spans="1:16" ht="15" thickBot="1">
      <c r="A1366" s="3174">
        <v>1364</v>
      </c>
      <c r="B1366" s="3175" t="s">
        <v>4807</v>
      </c>
      <c r="C1366" s="3176">
        <v>112.38</v>
      </c>
      <c r="D1366" s="3176">
        <v>35.380000000000003</v>
      </c>
      <c r="F1366" s="3177">
        <v>1364</v>
      </c>
      <c r="G1366" s="3175" t="s">
        <v>4721</v>
      </c>
      <c r="H1366" s="3178">
        <v>-3087</v>
      </c>
      <c r="I1366" s="3179">
        <v>8.64</v>
      </c>
      <c r="J1366" s="3179">
        <v>2.72</v>
      </c>
      <c r="L1366" s="3177">
        <v>1364</v>
      </c>
      <c r="M1366" s="3175">
        <v>-10578</v>
      </c>
      <c r="N1366" s="3175" t="s">
        <v>4187</v>
      </c>
      <c r="O1366" s="3176">
        <v>26.98</v>
      </c>
      <c r="P1366" s="3176">
        <v>8.49</v>
      </c>
    </row>
    <row r="1367" spans="1:16" ht="15" thickBot="1">
      <c r="A1367" s="3174">
        <v>1365</v>
      </c>
      <c r="B1367" s="3175" t="s">
        <v>4808</v>
      </c>
      <c r="C1367" s="3176">
        <v>112.38</v>
      </c>
      <c r="D1367" s="3176">
        <v>35.380000000000003</v>
      </c>
      <c r="F1367" s="3177">
        <v>1365</v>
      </c>
      <c r="G1367" s="3175" t="s">
        <v>4721</v>
      </c>
      <c r="H1367" s="3178">
        <v>-3088</v>
      </c>
      <c r="I1367" s="3179">
        <v>11.14</v>
      </c>
      <c r="J1367" s="3179">
        <v>3.51</v>
      </c>
      <c r="L1367" s="3177">
        <v>1365</v>
      </c>
      <c r="M1367" s="3175">
        <v>-10579</v>
      </c>
      <c r="N1367" s="3175" t="s">
        <v>4187</v>
      </c>
      <c r="O1367" s="3176">
        <v>26.98</v>
      </c>
      <c r="P1367" s="3176">
        <v>8.49</v>
      </c>
    </row>
    <row r="1368" spans="1:16" ht="15" thickBot="1">
      <c r="A1368" s="3174">
        <v>1366</v>
      </c>
      <c r="B1368" s="3175" t="s">
        <v>4809</v>
      </c>
      <c r="C1368" s="3176">
        <v>88.92</v>
      </c>
      <c r="D1368" s="3176">
        <v>28</v>
      </c>
      <c r="F1368" s="3177">
        <v>1366</v>
      </c>
      <c r="G1368" s="3175" t="s">
        <v>4721</v>
      </c>
      <c r="H1368" s="3178">
        <v>-3089</v>
      </c>
      <c r="I1368" s="3179">
        <v>8.18</v>
      </c>
      <c r="J1368" s="3179">
        <v>2.58</v>
      </c>
      <c r="L1368" s="3177">
        <v>1366</v>
      </c>
      <c r="M1368" s="3175">
        <v>-10580</v>
      </c>
      <c r="N1368" s="3175" t="s">
        <v>4187</v>
      </c>
      <c r="O1368" s="3176">
        <v>26.98</v>
      </c>
      <c r="P1368" s="3176">
        <v>8.49</v>
      </c>
    </row>
    <row r="1369" spans="1:16" ht="15" thickBot="1">
      <c r="A1369" s="3174">
        <v>1367</v>
      </c>
      <c r="B1369" s="3175" t="s">
        <v>4810</v>
      </c>
      <c r="C1369" s="3176">
        <v>88.92</v>
      </c>
      <c r="D1369" s="3176">
        <v>28</v>
      </c>
      <c r="F1369" s="3177">
        <v>1367</v>
      </c>
      <c r="G1369" s="3175" t="s">
        <v>4721</v>
      </c>
      <c r="H1369" s="3178">
        <v>-3090</v>
      </c>
      <c r="I1369" s="3179">
        <v>7.96</v>
      </c>
      <c r="J1369" s="3179">
        <v>2.5099999999999998</v>
      </c>
      <c r="L1369" s="3177">
        <v>1367</v>
      </c>
      <c r="M1369" s="3175">
        <v>-10581</v>
      </c>
      <c r="N1369" s="3175" t="s">
        <v>4187</v>
      </c>
      <c r="O1369" s="3176">
        <v>26.98</v>
      </c>
      <c r="P1369" s="3176">
        <v>8.49</v>
      </c>
    </row>
    <row r="1370" spans="1:16" ht="15" thickBot="1">
      <c r="A1370" s="3174">
        <v>1368</v>
      </c>
      <c r="B1370" s="3175" t="s">
        <v>4811</v>
      </c>
      <c r="C1370" s="3176">
        <v>89.2</v>
      </c>
      <c r="D1370" s="3176">
        <v>28.08</v>
      </c>
      <c r="F1370" s="3177">
        <v>1368</v>
      </c>
      <c r="G1370" s="3175" t="s">
        <v>4721</v>
      </c>
      <c r="H1370" s="3178">
        <v>-3091</v>
      </c>
      <c r="I1370" s="3179">
        <v>7.51</v>
      </c>
      <c r="J1370" s="3179">
        <v>2.36</v>
      </c>
      <c r="L1370" s="3177">
        <v>1368</v>
      </c>
      <c r="M1370" s="3175">
        <v>-10582</v>
      </c>
      <c r="N1370" s="3175" t="s">
        <v>4187</v>
      </c>
      <c r="O1370" s="3176">
        <v>26.98</v>
      </c>
      <c r="P1370" s="3176">
        <v>8.49</v>
      </c>
    </row>
    <row r="1371" spans="1:16" ht="15" thickBot="1">
      <c r="A1371" s="3174">
        <v>1369</v>
      </c>
      <c r="B1371" s="3175" t="s">
        <v>4812</v>
      </c>
      <c r="C1371" s="3176">
        <v>112.38</v>
      </c>
      <c r="D1371" s="3176">
        <v>35.380000000000003</v>
      </c>
      <c r="F1371" s="3177">
        <v>1369</v>
      </c>
      <c r="G1371" s="3175" t="s">
        <v>4721</v>
      </c>
      <c r="H1371" s="3178">
        <v>-3092</v>
      </c>
      <c r="I1371" s="3179">
        <v>5.61</v>
      </c>
      <c r="J1371" s="3179">
        <v>1.77</v>
      </c>
      <c r="L1371" s="3177">
        <v>1369</v>
      </c>
      <c r="M1371" s="3175">
        <v>-10583</v>
      </c>
      <c r="N1371" s="3175" t="s">
        <v>4187</v>
      </c>
      <c r="O1371" s="3176">
        <v>26.98</v>
      </c>
      <c r="P1371" s="3176">
        <v>8.49</v>
      </c>
    </row>
    <row r="1372" spans="1:16" ht="15" thickBot="1">
      <c r="A1372" s="3174">
        <v>1370</v>
      </c>
      <c r="B1372" s="3175" t="s">
        <v>4813</v>
      </c>
      <c r="C1372" s="3176">
        <v>88.92</v>
      </c>
      <c r="D1372" s="3176">
        <v>28</v>
      </c>
      <c r="F1372" s="3177">
        <v>1370</v>
      </c>
      <c r="G1372" s="3175" t="s">
        <v>4721</v>
      </c>
      <c r="H1372" s="3178">
        <v>-3093</v>
      </c>
      <c r="I1372" s="3179">
        <v>5.76</v>
      </c>
      <c r="J1372" s="3179">
        <v>1.81</v>
      </c>
      <c r="L1372" s="3177">
        <v>1370</v>
      </c>
      <c r="M1372" s="3175">
        <v>-10584</v>
      </c>
      <c r="N1372" s="3175" t="s">
        <v>4187</v>
      </c>
      <c r="O1372" s="3176">
        <v>26.98</v>
      </c>
      <c r="P1372" s="3176">
        <v>8.49</v>
      </c>
    </row>
    <row r="1373" spans="1:16" ht="15" thickBot="1">
      <c r="A1373" s="3174">
        <v>1371</v>
      </c>
      <c r="B1373" s="3175" t="s">
        <v>4814</v>
      </c>
      <c r="C1373" s="3176">
        <v>88.92</v>
      </c>
      <c r="D1373" s="3176">
        <v>28.01</v>
      </c>
      <c r="F1373" s="3177">
        <v>1371</v>
      </c>
      <c r="G1373" s="3175" t="s">
        <v>4721</v>
      </c>
      <c r="H1373" s="3178">
        <v>-3094</v>
      </c>
      <c r="I1373" s="3179">
        <v>13.95</v>
      </c>
      <c r="J1373" s="3179">
        <v>4.3899999999999997</v>
      </c>
      <c r="L1373" s="3177">
        <v>1371</v>
      </c>
      <c r="M1373" s="3175">
        <v>-10585</v>
      </c>
      <c r="N1373" s="3175" t="s">
        <v>4187</v>
      </c>
      <c r="O1373" s="3176">
        <v>26.98</v>
      </c>
      <c r="P1373" s="3176">
        <v>8.49</v>
      </c>
    </row>
    <row r="1374" spans="1:16" ht="15" thickBot="1">
      <c r="A1374" s="3174">
        <v>1372</v>
      </c>
      <c r="B1374" s="3175" t="s">
        <v>4815</v>
      </c>
      <c r="C1374" s="3176">
        <v>89.2</v>
      </c>
      <c r="D1374" s="3176">
        <v>28.09</v>
      </c>
      <c r="F1374" s="3177">
        <v>1372</v>
      </c>
      <c r="G1374" s="3175" t="s">
        <v>4721</v>
      </c>
      <c r="H1374" s="3178">
        <v>-3095</v>
      </c>
      <c r="I1374" s="3179">
        <v>7.68</v>
      </c>
      <c r="J1374" s="3179">
        <v>2.42</v>
      </c>
      <c r="L1374" s="3177">
        <v>1372</v>
      </c>
      <c r="M1374" s="3175">
        <v>-10586</v>
      </c>
      <c r="N1374" s="3175" t="s">
        <v>4187</v>
      </c>
      <c r="O1374" s="3176">
        <v>26.98</v>
      </c>
      <c r="P1374" s="3176">
        <v>8.49</v>
      </c>
    </row>
    <row r="1375" spans="1:16" ht="15" thickBot="1">
      <c r="A1375" s="3174">
        <v>1373</v>
      </c>
      <c r="B1375" s="3175" t="s">
        <v>4816</v>
      </c>
      <c r="C1375" s="3176">
        <v>112.38</v>
      </c>
      <c r="D1375" s="3176">
        <v>35.39</v>
      </c>
      <c r="F1375" s="3177">
        <v>1373</v>
      </c>
      <c r="G1375" s="3175" t="s">
        <v>4721</v>
      </c>
      <c r="H1375" s="3178">
        <v>-3096</v>
      </c>
      <c r="I1375" s="3179">
        <v>11.7</v>
      </c>
      <c r="J1375" s="3179">
        <v>3.68</v>
      </c>
      <c r="L1375" s="3177">
        <v>1373</v>
      </c>
      <c r="M1375" s="3175">
        <v>-10587</v>
      </c>
      <c r="N1375" s="3175" t="s">
        <v>4187</v>
      </c>
      <c r="O1375" s="3176">
        <v>26.98</v>
      </c>
      <c r="P1375" s="3176">
        <v>8.49</v>
      </c>
    </row>
    <row r="1376" spans="1:16" ht="15" thickBot="1">
      <c r="A1376" s="3174">
        <v>1374</v>
      </c>
      <c r="B1376" s="3175" t="s">
        <v>4817</v>
      </c>
      <c r="C1376" s="3176">
        <v>88.92</v>
      </c>
      <c r="D1376" s="3176">
        <v>28.01</v>
      </c>
      <c r="F1376" s="3177">
        <v>1374</v>
      </c>
      <c r="G1376" s="3175" t="s">
        <v>4721</v>
      </c>
      <c r="H1376" s="3178">
        <v>-3097</v>
      </c>
      <c r="I1376" s="3179">
        <v>7.79</v>
      </c>
      <c r="J1376" s="3179">
        <v>2.4500000000000002</v>
      </c>
      <c r="L1376" s="3177">
        <v>1374</v>
      </c>
      <c r="M1376" s="3175">
        <v>-10588</v>
      </c>
      <c r="N1376" s="3175" t="s">
        <v>4187</v>
      </c>
      <c r="O1376" s="3176">
        <v>26.98</v>
      </c>
      <c r="P1376" s="3176">
        <v>8.49</v>
      </c>
    </row>
    <row r="1377" spans="1:16" ht="15" thickBot="1">
      <c r="A1377" s="3174">
        <v>1375</v>
      </c>
      <c r="B1377" s="3175" t="s">
        <v>4818</v>
      </c>
      <c r="C1377" s="3176">
        <v>88.92</v>
      </c>
      <c r="D1377" s="3176">
        <v>28.01</v>
      </c>
      <c r="F1377" s="3177">
        <v>1375</v>
      </c>
      <c r="G1377" s="3175" t="s">
        <v>4721</v>
      </c>
      <c r="H1377" s="3178">
        <v>-3098</v>
      </c>
      <c r="I1377" s="3179">
        <v>15.69</v>
      </c>
      <c r="J1377" s="3179">
        <v>4.9400000000000004</v>
      </c>
      <c r="L1377" s="3177">
        <v>1375</v>
      </c>
      <c r="M1377" s="3175">
        <v>-10589</v>
      </c>
      <c r="N1377" s="3175" t="s">
        <v>4187</v>
      </c>
      <c r="O1377" s="3176">
        <v>26.98</v>
      </c>
      <c r="P1377" s="3176">
        <v>8.49</v>
      </c>
    </row>
    <row r="1378" spans="1:16" ht="15" thickBot="1">
      <c r="A1378" s="3174">
        <v>1376</v>
      </c>
      <c r="B1378" s="3175" t="s">
        <v>4819</v>
      </c>
      <c r="C1378" s="3176">
        <v>89.2</v>
      </c>
      <c r="D1378" s="3176">
        <v>28.09</v>
      </c>
      <c r="F1378" s="3177">
        <v>1376</v>
      </c>
      <c r="G1378" s="3175" t="s">
        <v>4721</v>
      </c>
      <c r="H1378" s="3178">
        <v>-3099</v>
      </c>
      <c r="I1378" s="3179">
        <v>7.88</v>
      </c>
      <c r="J1378" s="3179">
        <v>2.48</v>
      </c>
      <c r="L1378" s="3177">
        <v>1376</v>
      </c>
      <c r="M1378" s="3175">
        <v>-10590</v>
      </c>
      <c r="N1378" s="3175" t="s">
        <v>4187</v>
      </c>
      <c r="O1378" s="3176">
        <v>26.98</v>
      </c>
      <c r="P1378" s="3176">
        <v>8.49</v>
      </c>
    </row>
    <row r="1379" spans="1:16" ht="15" thickBot="1">
      <c r="A1379" s="3174">
        <v>1377</v>
      </c>
      <c r="B1379" s="3175" t="s">
        <v>4820</v>
      </c>
      <c r="C1379" s="3176">
        <v>112.38</v>
      </c>
      <c r="D1379" s="3176">
        <v>35.39</v>
      </c>
      <c r="F1379" s="3177">
        <v>1377</v>
      </c>
      <c r="G1379" s="3175" t="s">
        <v>4721</v>
      </c>
      <c r="H1379" s="3178">
        <v>-3100</v>
      </c>
      <c r="I1379" s="3179">
        <v>8.1</v>
      </c>
      <c r="J1379" s="3179">
        <v>2.5499999999999998</v>
      </c>
      <c r="L1379" s="3177">
        <v>1377</v>
      </c>
      <c r="M1379" s="3175">
        <v>-10591</v>
      </c>
      <c r="N1379" s="3175" t="s">
        <v>4187</v>
      </c>
      <c r="O1379" s="3176">
        <v>26.98</v>
      </c>
      <c r="P1379" s="3176">
        <v>8.49</v>
      </c>
    </row>
    <row r="1380" spans="1:16" ht="15" thickBot="1">
      <c r="A1380" s="3174">
        <v>1378</v>
      </c>
      <c r="B1380" s="3175" t="s">
        <v>4821</v>
      </c>
      <c r="C1380" s="3176">
        <v>88.92</v>
      </c>
      <c r="D1380" s="3176">
        <v>28.01</v>
      </c>
      <c r="F1380" s="3177">
        <v>1378</v>
      </c>
      <c r="G1380" s="3175" t="s">
        <v>4721</v>
      </c>
      <c r="H1380" s="3178">
        <v>-3101</v>
      </c>
      <c r="I1380" s="3179">
        <v>8.1</v>
      </c>
      <c r="J1380" s="3179">
        <v>2.5499999999999998</v>
      </c>
      <c r="L1380" s="3177">
        <v>1378</v>
      </c>
      <c r="M1380" s="3175">
        <v>-10592</v>
      </c>
      <c r="N1380" s="3175" t="s">
        <v>4187</v>
      </c>
      <c r="O1380" s="3176">
        <v>26.98</v>
      </c>
      <c r="P1380" s="3176">
        <v>8.49</v>
      </c>
    </row>
    <row r="1381" spans="1:16" ht="15" thickBot="1">
      <c r="A1381" s="3174">
        <v>1379</v>
      </c>
      <c r="B1381" s="3175" t="s">
        <v>4822</v>
      </c>
      <c r="C1381" s="3176">
        <v>88.92</v>
      </c>
      <c r="D1381" s="3176">
        <v>28.01</v>
      </c>
      <c r="F1381" s="3177">
        <v>1379</v>
      </c>
      <c r="G1381" s="3175" t="s">
        <v>4721</v>
      </c>
      <c r="H1381" s="3178">
        <v>-3102</v>
      </c>
      <c r="I1381" s="3179">
        <v>8.64</v>
      </c>
      <c r="J1381" s="3179">
        <v>2.72</v>
      </c>
      <c r="L1381" s="3177">
        <v>1379</v>
      </c>
      <c r="M1381" s="3175">
        <v>-10593</v>
      </c>
      <c r="N1381" s="3175" t="s">
        <v>4187</v>
      </c>
      <c r="O1381" s="3176">
        <v>26.98</v>
      </c>
      <c r="P1381" s="3176">
        <v>8.49</v>
      </c>
    </row>
    <row r="1382" spans="1:16" ht="15" thickBot="1">
      <c r="A1382" s="3174">
        <v>1380</v>
      </c>
      <c r="B1382" s="3175" t="s">
        <v>4823</v>
      </c>
      <c r="C1382" s="3176">
        <v>89.2</v>
      </c>
      <c r="D1382" s="3176">
        <v>28.09</v>
      </c>
      <c r="F1382" s="3177">
        <v>1380</v>
      </c>
      <c r="G1382" s="3175" t="s">
        <v>4721</v>
      </c>
      <c r="H1382" s="3178">
        <v>-3103</v>
      </c>
      <c r="I1382" s="3179">
        <v>8.77</v>
      </c>
      <c r="J1382" s="3179">
        <v>2.76</v>
      </c>
      <c r="L1382" s="3177">
        <v>1380</v>
      </c>
      <c r="M1382" s="3175">
        <v>-10594</v>
      </c>
      <c r="N1382" s="3175" t="s">
        <v>4187</v>
      </c>
      <c r="O1382" s="3176">
        <v>26.98</v>
      </c>
      <c r="P1382" s="3176">
        <v>8.49</v>
      </c>
    </row>
    <row r="1383" spans="1:16" ht="15" thickBot="1">
      <c r="A1383" s="3174">
        <v>1381</v>
      </c>
      <c r="B1383" s="3175" t="s">
        <v>4824</v>
      </c>
      <c r="C1383" s="3176">
        <v>112.38</v>
      </c>
      <c r="D1383" s="3176">
        <v>35.39</v>
      </c>
      <c r="F1383" s="3177">
        <v>1381</v>
      </c>
      <c r="G1383" s="3175" t="s">
        <v>4721</v>
      </c>
      <c r="H1383" s="3178">
        <v>-3104</v>
      </c>
      <c r="I1383" s="3179">
        <v>8.64</v>
      </c>
      <c r="J1383" s="3179">
        <v>2.72</v>
      </c>
      <c r="L1383" s="3177">
        <v>1381</v>
      </c>
      <c r="M1383" s="3175">
        <v>-10595</v>
      </c>
      <c r="N1383" s="3175" t="s">
        <v>4187</v>
      </c>
      <c r="O1383" s="3176">
        <v>26.98</v>
      </c>
      <c r="P1383" s="3176">
        <v>8.49</v>
      </c>
    </row>
    <row r="1384" spans="1:16" ht="15" thickBot="1">
      <c r="A1384" s="3174">
        <v>1382</v>
      </c>
      <c r="B1384" s="3175" t="s">
        <v>4825</v>
      </c>
      <c r="C1384" s="3176">
        <v>88.92</v>
      </c>
      <c r="D1384" s="3176">
        <v>28.01</v>
      </c>
      <c r="F1384" s="3177">
        <v>1382</v>
      </c>
      <c r="G1384" s="3175" t="s">
        <v>4721</v>
      </c>
      <c r="H1384" s="3178">
        <v>-3105</v>
      </c>
      <c r="I1384" s="3179">
        <v>7.39</v>
      </c>
      <c r="J1384" s="3179">
        <v>2.33</v>
      </c>
      <c r="L1384" s="3177">
        <v>1382</v>
      </c>
      <c r="M1384" s="3175">
        <v>-10596</v>
      </c>
      <c r="N1384" s="3175" t="s">
        <v>4187</v>
      </c>
      <c r="O1384" s="3176">
        <v>26.98</v>
      </c>
      <c r="P1384" s="3176">
        <v>8.49</v>
      </c>
    </row>
    <row r="1385" spans="1:16" ht="15" thickBot="1">
      <c r="A1385" s="3174">
        <v>1383</v>
      </c>
      <c r="B1385" s="3175" t="s">
        <v>4826</v>
      </c>
      <c r="C1385" s="3176">
        <v>88.92</v>
      </c>
      <c r="D1385" s="3176">
        <v>28.01</v>
      </c>
      <c r="F1385" s="3177">
        <v>1383</v>
      </c>
      <c r="G1385" s="3175" t="s">
        <v>4721</v>
      </c>
      <c r="H1385" s="3178">
        <v>-3106</v>
      </c>
      <c r="I1385" s="3179">
        <v>7.17</v>
      </c>
      <c r="J1385" s="3179">
        <v>2.2599999999999998</v>
      </c>
      <c r="L1385" s="3177">
        <v>1383</v>
      </c>
      <c r="M1385" s="3175">
        <v>-10597</v>
      </c>
      <c r="N1385" s="3175" t="s">
        <v>4187</v>
      </c>
      <c r="O1385" s="3176">
        <v>26.98</v>
      </c>
      <c r="P1385" s="3176">
        <v>8.49</v>
      </c>
    </row>
    <row r="1386" spans="1:16" ht="15" thickBot="1">
      <c r="A1386" s="3174">
        <v>1384</v>
      </c>
      <c r="B1386" s="3175" t="s">
        <v>4827</v>
      </c>
      <c r="C1386" s="3176">
        <v>89.2</v>
      </c>
      <c r="D1386" s="3176">
        <v>28.09</v>
      </c>
      <c r="F1386" s="3177">
        <v>1384</v>
      </c>
      <c r="G1386" s="3175" t="s">
        <v>4721</v>
      </c>
      <c r="H1386" s="3178">
        <v>-3107</v>
      </c>
      <c r="I1386" s="3179">
        <v>7.17</v>
      </c>
      <c r="J1386" s="3179">
        <v>2.2599999999999998</v>
      </c>
      <c r="L1386" s="3177">
        <v>1384</v>
      </c>
      <c r="M1386" s="3175">
        <v>-10598</v>
      </c>
      <c r="N1386" s="3175" t="s">
        <v>4187</v>
      </c>
      <c r="O1386" s="3176">
        <v>26.98</v>
      </c>
      <c r="P1386" s="3176">
        <v>8.49</v>
      </c>
    </row>
    <row r="1387" spans="1:16" ht="15" thickBot="1">
      <c r="A1387" s="3174">
        <v>1385</v>
      </c>
      <c r="B1387" s="3175" t="s">
        <v>4828</v>
      </c>
      <c r="C1387" s="3176">
        <v>112.38</v>
      </c>
      <c r="D1387" s="3176">
        <v>35.39</v>
      </c>
      <c r="F1387" s="3177">
        <v>1385</v>
      </c>
      <c r="G1387" s="3175" t="s">
        <v>4721</v>
      </c>
      <c r="H1387" s="3178">
        <v>-3108</v>
      </c>
      <c r="I1387" s="3179">
        <v>7.47</v>
      </c>
      <c r="J1387" s="3179">
        <v>2.35</v>
      </c>
      <c r="L1387" s="3177">
        <v>1385</v>
      </c>
      <c r="M1387" s="3175">
        <v>-10599</v>
      </c>
      <c r="N1387" s="3175" t="s">
        <v>4187</v>
      </c>
      <c r="O1387" s="3176">
        <v>26.98</v>
      </c>
      <c r="P1387" s="3176">
        <v>8.49</v>
      </c>
    </row>
    <row r="1388" spans="1:16" ht="15" thickBot="1">
      <c r="A1388" s="3174">
        <v>1386</v>
      </c>
      <c r="B1388" s="3175" t="s">
        <v>4829</v>
      </c>
      <c r="C1388" s="3176">
        <v>88.92</v>
      </c>
      <c r="D1388" s="3176">
        <v>28.01</v>
      </c>
      <c r="F1388" s="3177">
        <v>1386</v>
      </c>
      <c r="G1388" s="3175" t="s">
        <v>4721</v>
      </c>
      <c r="H1388" s="3178">
        <v>-3109</v>
      </c>
      <c r="I1388" s="3179">
        <v>7.47</v>
      </c>
      <c r="J1388" s="3179">
        <v>2.35</v>
      </c>
      <c r="L1388" s="3177">
        <v>1386</v>
      </c>
      <c r="M1388" s="3175">
        <v>-10600</v>
      </c>
      <c r="N1388" s="3175" t="s">
        <v>4187</v>
      </c>
      <c r="O1388" s="3176">
        <v>26.98</v>
      </c>
      <c r="P1388" s="3176">
        <v>8.49</v>
      </c>
    </row>
    <row r="1389" spans="1:16" ht="15" thickBot="1">
      <c r="A1389" s="3174">
        <v>1387</v>
      </c>
      <c r="B1389" s="3175" t="s">
        <v>4830</v>
      </c>
      <c r="C1389" s="3176">
        <v>88.92</v>
      </c>
      <c r="D1389" s="3176">
        <v>28.01</v>
      </c>
      <c r="F1389" s="3177">
        <v>1387</v>
      </c>
      <c r="G1389" s="3175" t="s">
        <v>4721</v>
      </c>
      <c r="H1389" s="3178">
        <v>-3110</v>
      </c>
      <c r="I1389" s="3179">
        <v>7.17</v>
      </c>
      <c r="J1389" s="3179">
        <v>2.2599999999999998</v>
      </c>
      <c r="L1389" s="3177">
        <v>1387</v>
      </c>
      <c r="M1389" s="3175">
        <v>-10601</v>
      </c>
      <c r="N1389" s="3175" t="s">
        <v>4187</v>
      </c>
      <c r="O1389" s="3176">
        <v>26.98</v>
      </c>
      <c r="P1389" s="3176">
        <v>8.49</v>
      </c>
    </row>
    <row r="1390" spans="1:16" ht="15" thickBot="1">
      <c r="A1390" s="3174">
        <v>1388</v>
      </c>
      <c r="B1390" s="3175" t="s">
        <v>4831</v>
      </c>
      <c r="C1390" s="3176">
        <v>89.2</v>
      </c>
      <c r="D1390" s="3176">
        <v>28.09</v>
      </c>
      <c r="F1390" s="3177">
        <v>1388</v>
      </c>
      <c r="G1390" s="3175" t="s">
        <v>4721</v>
      </c>
      <c r="H1390" s="3178">
        <v>-3111</v>
      </c>
      <c r="I1390" s="3179">
        <v>7.17</v>
      </c>
      <c r="J1390" s="3179">
        <v>2.2599999999999998</v>
      </c>
      <c r="L1390" s="3177">
        <v>1388</v>
      </c>
      <c r="M1390" s="3175">
        <v>-10602</v>
      </c>
      <c r="N1390" s="3175" t="s">
        <v>4187</v>
      </c>
      <c r="O1390" s="3176">
        <v>26.98</v>
      </c>
      <c r="P1390" s="3176">
        <v>8.49</v>
      </c>
    </row>
    <row r="1391" spans="1:16" ht="15" thickBot="1">
      <c r="A1391" s="3174">
        <v>1389</v>
      </c>
      <c r="B1391" s="3175" t="s">
        <v>4832</v>
      </c>
      <c r="C1391" s="3176">
        <v>112.38</v>
      </c>
      <c r="D1391" s="3176">
        <v>35.39</v>
      </c>
      <c r="F1391" s="3177">
        <v>1389</v>
      </c>
      <c r="G1391" s="3175" t="s">
        <v>4721</v>
      </c>
      <c r="H1391" s="3178">
        <v>-3112</v>
      </c>
      <c r="I1391" s="3179">
        <v>7.39</v>
      </c>
      <c r="J1391" s="3179">
        <v>2.33</v>
      </c>
      <c r="L1391" s="3177">
        <v>1389</v>
      </c>
      <c r="M1391" s="3175">
        <v>-10603</v>
      </c>
      <c r="N1391" s="3175" t="s">
        <v>4187</v>
      </c>
      <c r="O1391" s="3176">
        <v>26.98</v>
      </c>
      <c r="P1391" s="3176">
        <v>8.49</v>
      </c>
    </row>
    <row r="1392" spans="1:16" ht="15" thickBot="1">
      <c r="A1392" s="3174">
        <v>1390</v>
      </c>
      <c r="B1392" s="3175" t="s">
        <v>4833</v>
      </c>
      <c r="C1392" s="3176">
        <v>88.92</v>
      </c>
      <c r="D1392" s="3176">
        <v>28.01</v>
      </c>
      <c r="F1392" s="3177">
        <v>1390</v>
      </c>
      <c r="G1392" s="3175" t="s">
        <v>4721</v>
      </c>
      <c r="H1392" s="3178">
        <v>-3113</v>
      </c>
      <c r="I1392" s="3179">
        <v>8.64</v>
      </c>
      <c r="J1392" s="3179">
        <v>2.72</v>
      </c>
      <c r="L1392" s="3177">
        <v>1390</v>
      </c>
      <c r="M1392" s="3175">
        <v>-10604</v>
      </c>
      <c r="N1392" s="3175" t="s">
        <v>4187</v>
      </c>
      <c r="O1392" s="3176">
        <v>26.98</v>
      </c>
      <c r="P1392" s="3176">
        <v>8.49</v>
      </c>
    </row>
    <row r="1393" spans="1:16" ht="15" thickBot="1">
      <c r="A1393" s="3174">
        <v>1391</v>
      </c>
      <c r="B1393" s="3175" t="s">
        <v>4834</v>
      </c>
      <c r="C1393" s="3176">
        <v>88.92</v>
      </c>
      <c r="D1393" s="3176">
        <v>28.01</v>
      </c>
      <c r="F1393" s="3177">
        <v>1391</v>
      </c>
      <c r="G1393" s="3175" t="s">
        <v>4721</v>
      </c>
      <c r="H1393" s="3178">
        <v>-3114</v>
      </c>
      <c r="I1393" s="3179">
        <v>8.77</v>
      </c>
      <c r="J1393" s="3179">
        <v>2.76</v>
      </c>
      <c r="L1393" s="3177">
        <v>1391</v>
      </c>
      <c r="M1393" s="3175">
        <v>-10605</v>
      </c>
      <c r="N1393" s="3175" t="s">
        <v>4187</v>
      </c>
      <c r="O1393" s="3176">
        <v>26.98</v>
      </c>
      <c r="P1393" s="3176">
        <v>8.49</v>
      </c>
    </row>
    <row r="1394" spans="1:16" ht="15" thickBot="1">
      <c r="A1394" s="3174">
        <v>1392</v>
      </c>
      <c r="B1394" s="3175" t="s">
        <v>4835</v>
      </c>
      <c r="C1394" s="3176">
        <v>89.2</v>
      </c>
      <c r="D1394" s="3176">
        <v>28.09</v>
      </c>
      <c r="F1394" s="3177">
        <v>1392</v>
      </c>
      <c r="G1394" s="3175" t="s">
        <v>4721</v>
      </c>
      <c r="H1394" s="3178">
        <v>-3115</v>
      </c>
      <c r="I1394" s="3179">
        <v>8.64</v>
      </c>
      <c r="J1394" s="3179">
        <v>2.72</v>
      </c>
      <c r="L1394" s="3177">
        <v>1392</v>
      </c>
      <c r="M1394" s="3175">
        <v>-10606</v>
      </c>
      <c r="N1394" s="3175" t="s">
        <v>4187</v>
      </c>
      <c r="O1394" s="3176">
        <v>26.98</v>
      </c>
      <c r="P1394" s="3176">
        <v>8.49</v>
      </c>
    </row>
    <row r="1395" spans="1:16" ht="15" thickBot="1">
      <c r="A1395" s="3174">
        <v>1393</v>
      </c>
      <c r="B1395" s="3175" t="s">
        <v>4836</v>
      </c>
      <c r="C1395" s="3176">
        <v>112.38</v>
      </c>
      <c r="D1395" s="3176">
        <v>35.39</v>
      </c>
      <c r="F1395" s="3177">
        <v>1393</v>
      </c>
      <c r="G1395" s="3175" t="s">
        <v>4721</v>
      </c>
      <c r="H1395" s="3178">
        <v>-3116</v>
      </c>
      <c r="I1395" s="3179">
        <v>10.64</v>
      </c>
      <c r="J1395" s="3179">
        <v>3.35</v>
      </c>
      <c r="L1395" s="3177">
        <v>1393</v>
      </c>
      <c r="M1395" s="3175">
        <v>-10607</v>
      </c>
      <c r="N1395" s="3175" t="s">
        <v>4187</v>
      </c>
      <c r="O1395" s="3176">
        <v>26.98</v>
      </c>
      <c r="P1395" s="3176">
        <v>8.49</v>
      </c>
    </row>
    <row r="1396" spans="1:16" ht="15" thickBot="1">
      <c r="A1396" s="3174">
        <v>1394</v>
      </c>
      <c r="B1396" s="3175" t="s">
        <v>4837</v>
      </c>
      <c r="C1396" s="3176">
        <v>88.92</v>
      </c>
      <c r="D1396" s="3176">
        <v>28.01</v>
      </c>
      <c r="F1396" s="3177">
        <v>1394</v>
      </c>
      <c r="G1396" s="3175" t="s">
        <v>4721</v>
      </c>
      <c r="H1396" s="3178">
        <v>-3117</v>
      </c>
      <c r="I1396" s="3179">
        <v>8.18</v>
      </c>
      <c r="J1396" s="3179">
        <v>2.58</v>
      </c>
      <c r="L1396" s="3177">
        <v>1394</v>
      </c>
      <c r="M1396" s="3175">
        <v>-10608</v>
      </c>
      <c r="N1396" s="3175" t="s">
        <v>4187</v>
      </c>
      <c r="O1396" s="3176">
        <v>26.98</v>
      </c>
      <c r="P1396" s="3176">
        <v>8.49</v>
      </c>
    </row>
    <row r="1397" spans="1:16" ht="15" thickBot="1">
      <c r="A1397" s="3174">
        <v>1395</v>
      </c>
      <c r="B1397" s="3175" t="s">
        <v>4838</v>
      </c>
      <c r="C1397" s="3176">
        <v>88.92</v>
      </c>
      <c r="D1397" s="3176">
        <v>28.01</v>
      </c>
      <c r="F1397" s="3177">
        <v>1395</v>
      </c>
      <c r="G1397" s="3175" t="s">
        <v>4721</v>
      </c>
      <c r="H1397" s="3178">
        <v>-3118</v>
      </c>
      <c r="I1397" s="3179">
        <v>7.96</v>
      </c>
      <c r="J1397" s="3179">
        <v>2.5099999999999998</v>
      </c>
      <c r="L1397" s="3177">
        <v>1395</v>
      </c>
      <c r="M1397" s="3175">
        <v>-10609</v>
      </c>
      <c r="N1397" s="3175" t="s">
        <v>4187</v>
      </c>
      <c r="O1397" s="3176">
        <v>26.98</v>
      </c>
      <c r="P1397" s="3176">
        <v>8.49</v>
      </c>
    </row>
    <row r="1398" spans="1:16" ht="15" thickBot="1">
      <c r="A1398" s="3174">
        <v>1396</v>
      </c>
      <c r="B1398" s="3175" t="s">
        <v>4839</v>
      </c>
      <c r="C1398" s="3176">
        <v>89.2</v>
      </c>
      <c r="D1398" s="3176">
        <v>28.09</v>
      </c>
      <c r="F1398" s="3177">
        <v>1396</v>
      </c>
      <c r="G1398" s="3175" t="s">
        <v>4721</v>
      </c>
      <c r="H1398" s="3178">
        <v>-3119</v>
      </c>
      <c r="I1398" s="3179">
        <v>7.51</v>
      </c>
      <c r="J1398" s="3179">
        <v>2.36</v>
      </c>
      <c r="L1398" s="3177">
        <v>1396</v>
      </c>
      <c r="M1398" s="3175">
        <v>-10610</v>
      </c>
      <c r="N1398" s="3175" t="s">
        <v>4187</v>
      </c>
      <c r="O1398" s="3176">
        <v>26.98</v>
      </c>
      <c r="P1398" s="3176">
        <v>8.49</v>
      </c>
    </row>
    <row r="1399" spans="1:16" ht="15" thickBot="1">
      <c r="A1399" s="3174">
        <v>1397</v>
      </c>
      <c r="B1399" s="3175" t="s">
        <v>4840</v>
      </c>
      <c r="C1399" s="3176">
        <v>112.38</v>
      </c>
      <c r="D1399" s="3176">
        <v>35.39</v>
      </c>
      <c r="F1399" s="3177">
        <v>1397</v>
      </c>
      <c r="G1399" s="3175" t="s">
        <v>4721</v>
      </c>
      <c r="H1399" s="3178">
        <v>-2001</v>
      </c>
      <c r="I1399" s="3179">
        <v>8.4</v>
      </c>
      <c r="J1399" s="3179">
        <v>2.64</v>
      </c>
      <c r="L1399" s="3177">
        <v>1397</v>
      </c>
      <c r="M1399" s="3175">
        <v>-10611</v>
      </c>
      <c r="N1399" s="3175" t="s">
        <v>4187</v>
      </c>
      <c r="O1399" s="3176">
        <v>26.98</v>
      </c>
      <c r="P1399" s="3176">
        <v>8.49</v>
      </c>
    </row>
    <row r="1400" spans="1:16" ht="15" thickBot="1">
      <c r="A1400" s="3174">
        <v>1398</v>
      </c>
      <c r="B1400" s="3175" t="s">
        <v>4841</v>
      </c>
      <c r="C1400" s="3176">
        <v>88.92</v>
      </c>
      <c r="D1400" s="3176">
        <v>28.01</v>
      </c>
      <c r="F1400" s="3177">
        <v>1398</v>
      </c>
      <c r="G1400" s="3175" t="s">
        <v>4721</v>
      </c>
      <c r="H1400" s="3178">
        <v>-2002</v>
      </c>
      <c r="I1400" s="3179">
        <v>8.5299999999999994</v>
      </c>
      <c r="J1400" s="3179">
        <v>2.69</v>
      </c>
      <c r="L1400" s="3177">
        <v>1398</v>
      </c>
      <c r="M1400" s="3175">
        <v>-10612</v>
      </c>
      <c r="N1400" s="3175" t="s">
        <v>4187</v>
      </c>
      <c r="O1400" s="3176">
        <v>26.98</v>
      </c>
      <c r="P1400" s="3176">
        <v>8.49</v>
      </c>
    </row>
    <row r="1401" spans="1:16" ht="15" thickBot="1">
      <c r="A1401" s="3174">
        <v>1399</v>
      </c>
      <c r="B1401" s="3175" t="s">
        <v>4842</v>
      </c>
      <c r="C1401" s="3176">
        <v>88.92</v>
      </c>
      <c r="D1401" s="3176">
        <v>28.01</v>
      </c>
      <c r="F1401" s="3177">
        <v>1399</v>
      </c>
      <c r="G1401" s="3175" t="s">
        <v>4721</v>
      </c>
      <c r="H1401" s="3178">
        <v>-2003</v>
      </c>
      <c r="I1401" s="3179">
        <v>10.89</v>
      </c>
      <c r="J1401" s="3179">
        <v>3.43</v>
      </c>
      <c r="L1401" s="3177">
        <v>1399</v>
      </c>
      <c r="M1401" s="3175">
        <v>-10613</v>
      </c>
      <c r="N1401" s="3175" t="s">
        <v>4187</v>
      </c>
      <c r="O1401" s="3176">
        <v>26.98</v>
      </c>
      <c r="P1401" s="3176">
        <v>8.49</v>
      </c>
    </row>
    <row r="1402" spans="1:16" ht="15" thickBot="1">
      <c r="A1402" s="3174">
        <v>1400</v>
      </c>
      <c r="B1402" s="3175" t="s">
        <v>4843</v>
      </c>
      <c r="C1402" s="3176">
        <v>89.2</v>
      </c>
      <c r="D1402" s="3176">
        <v>28.09</v>
      </c>
      <c r="F1402" s="3177">
        <v>1400</v>
      </c>
      <c r="G1402" s="3175" t="s">
        <v>4721</v>
      </c>
      <c r="H1402" s="3178">
        <v>-2004</v>
      </c>
      <c r="I1402" s="3179">
        <v>14.76</v>
      </c>
      <c r="J1402" s="3179">
        <v>4.6500000000000004</v>
      </c>
      <c r="L1402" s="3177">
        <v>1400</v>
      </c>
      <c r="M1402" s="3175">
        <v>-10614</v>
      </c>
      <c r="N1402" s="3175" t="s">
        <v>4187</v>
      </c>
      <c r="O1402" s="3176">
        <v>26.98</v>
      </c>
      <c r="P1402" s="3176">
        <v>8.49</v>
      </c>
    </row>
    <row r="1403" spans="1:16" ht="15" thickBot="1">
      <c r="A1403" s="3174">
        <v>1401</v>
      </c>
      <c r="B1403" s="3175" t="s">
        <v>4844</v>
      </c>
      <c r="C1403" s="3176">
        <v>112.38</v>
      </c>
      <c r="D1403" s="3176">
        <v>35.39</v>
      </c>
      <c r="F1403" s="3177">
        <v>1401</v>
      </c>
      <c r="G1403" s="3175" t="s">
        <v>4721</v>
      </c>
      <c r="H1403" s="3178">
        <v>-2005</v>
      </c>
      <c r="I1403" s="3179">
        <v>6.97</v>
      </c>
      <c r="J1403" s="3179">
        <v>2.19</v>
      </c>
      <c r="L1403" s="3177">
        <v>1401</v>
      </c>
      <c r="M1403" s="3175">
        <v>-10615</v>
      </c>
      <c r="N1403" s="3175" t="s">
        <v>4187</v>
      </c>
      <c r="O1403" s="3176">
        <v>26.98</v>
      </c>
      <c r="P1403" s="3176">
        <v>8.49</v>
      </c>
    </row>
    <row r="1404" spans="1:16" ht="15" thickBot="1">
      <c r="A1404" s="3174">
        <v>1402</v>
      </c>
      <c r="B1404" s="3175" t="s">
        <v>4845</v>
      </c>
      <c r="C1404" s="3176">
        <v>88.92</v>
      </c>
      <c r="D1404" s="3176">
        <v>28.01</v>
      </c>
      <c r="F1404" s="3177">
        <v>1402</v>
      </c>
      <c r="G1404" s="3175" t="s">
        <v>4721</v>
      </c>
      <c r="H1404" s="3178">
        <v>-2006</v>
      </c>
      <c r="I1404" s="3179">
        <v>6.78</v>
      </c>
      <c r="J1404" s="3179">
        <v>2.13</v>
      </c>
      <c r="L1404" s="3177">
        <v>1402</v>
      </c>
      <c r="M1404" s="3175">
        <v>-10616</v>
      </c>
      <c r="N1404" s="3175" t="s">
        <v>4187</v>
      </c>
      <c r="O1404" s="3176">
        <v>26.98</v>
      </c>
      <c r="P1404" s="3176">
        <v>8.49</v>
      </c>
    </row>
    <row r="1405" spans="1:16" ht="15" thickBot="1">
      <c r="A1405" s="3174">
        <v>1403</v>
      </c>
      <c r="B1405" s="3175" t="s">
        <v>4846</v>
      </c>
      <c r="C1405" s="3176">
        <v>88.92</v>
      </c>
      <c r="D1405" s="3176">
        <v>28.01</v>
      </c>
      <c r="F1405" s="3177">
        <v>1403</v>
      </c>
      <c r="G1405" s="3175" t="s">
        <v>4721</v>
      </c>
      <c r="H1405" s="3178">
        <v>-2007</v>
      </c>
      <c r="I1405" s="3179">
        <v>8.4</v>
      </c>
      <c r="J1405" s="3179">
        <v>2.64</v>
      </c>
      <c r="L1405" s="3177">
        <v>1403</v>
      </c>
      <c r="M1405" s="3175">
        <v>-10617</v>
      </c>
      <c r="N1405" s="3175" t="s">
        <v>4187</v>
      </c>
      <c r="O1405" s="3176">
        <v>26.98</v>
      </c>
      <c r="P1405" s="3176">
        <v>8.49</v>
      </c>
    </row>
    <row r="1406" spans="1:16" ht="15" thickBot="1">
      <c r="A1406" s="3174">
        <v>1404</v>
      </c>
      <c r="B1406" s="3175" t="s">
        <v>4847</v>
      </c>
      <c r="C1406" s="3176">
        <v>89.2</v>
      </c>
      <c r="D1406" s="3176">
        <v>28.09</v>
      </c>
      <c r="F1406" s="3177">
        <v>1404</v>
      </c>
      <c r="G1406" s="3175" t="s">
        <v>4721</v>
      </c>
      <c r="H1406" s="3178">
        <v>-2008</v>
      </c>
      <c r="I1406" s="3179">
        <v>9.5299999999999994</v>
      </c>
      <c r="J1406" s="3179">
        <v>3</v>
      </c>
      <c r="L1406" s="3177">
        <v>1404</v>
      </c>
      <c r="M1406" s="3175">
        <v>-10618</v>
      </c>
      <c r="N1406" s="3175" t="s">
        <v>4187</v>
      </c>
      <c r="O1406" s="3176">
        <v>26.98</v>
      </c>
      <c r="P1406" s="3176">
        <v>8.49</v>
      </c>
    </row>
    <row r="1407" spans="1:16" ht="15" thickBot="1">
      <c r="A1407" s="3174">
        <v>1405</v>
      </c>
      <c r="B1407" s="3175" t="s">
        <v>4848</v>
      </c>
      <c r="C1407" s="3176">
        <v>112.38</v>
      </c>
      <c r="D1407" s="3176">
        <v>35.39</v>
      </c>
      <c r="F1407" s="3177">
        <v>1405</v>
      </c>
      <c r="G1407" s="3175" t="s">
        <v>4721</v>
      </c>
      <c r="H1407" s="3178">
        <v>-2009</v>
      </c>
      <c r="I1407" s="3179">
        <v>9.09</v>
      </c>
      <c r="J1407" s="3179">
        <v>2.86</v>
      </c>
      <c r="L1407" s="3177">
        <v>1405</v>
      </c>
      <c r="M1407" s="3175">
        <v>-10619</v>
      </c>
      <c r="N1407" s="3175" t="s">
        <v>4187</v>
      </c>
      <c r="O1407" s="3176">
        <v>26.98</v>
      </c>
      <c r="P1407" s="3176">
        <v>8.49</v>
      </c>
    </row>
    <row r="1408" spans="1:16" ht="15" thickBot="1">
      <c r="A1408" s="3174">
        <v>1406</v>
      </c>
      <c r="B1408" s="3175" t="s">
        <v>4849</v>
      </c>
      <c r="C1408" s="3176">
        <v>88.92</v>
      </c>
      <c r="D1408" s="3176">
        <v>28.01</v>
      </c>
      <c r="F1408" s="3177">
        <v>1406</v>
      </c>
      <c r="G1408" s="3175" t="s">
        <v>4721</v>
      </c>
      <c r="H1408" s="3178">
        <v>-2010</v>
      </c>
      <c r="I1408" s="3179">
        <v>10.65</v>
      </c>
      <c r="J1408" s="3179">
        <v>3.35</v>
      </c>
      <c r="L1408" s="3177">
        <v>1406</v>
      </c>
      <c r="M1408" s="3175">
        <v>-10620</v>
      </c>
      <c r="N1408" s="3175" t="s">
        <v>4187</v>
      </c>
      <c r="O1408" s="3176">
        <v>26.98</v>
      </c>
      <c r="P1408" s="3176">
        <v>8.49</v>
      </c>
    </row>
    <row r="1409" spans="1:16" ht="15" thickBot="1">
      <c r="A1409" s="3174">
        <v>1407</v>
      </c>
      <c r="B1409" s="3175" t="s">
        <v>4850</v>
      </c>
      <c r="C1409" s="3176">
        <v>88.92</v>
      </c>
      <c r="D1409" s="3176">
        <v>28.01</v>
      </c>
      <c r="F1409" s="3177">
        <v>1407</v>
      </c>
      <c r="G1409" s="3175" t="s">
        <v>4721</v>
      </c>
      <c r="H1409" s="3178">
        <v>-2011</v>
      </c>
      <c r="I1409" s="3179">
        <v>10.97</v>
      </c>
      <c r="J1409" s="3179">
        <v>3.45</v>
      </c>
      <c r="L1409" s="3177">
        <v>1407</v>
      </c>
      <c r="M1409" s="3175">
        <v>-10621</v>
      </c>
      <c r="N1409" s="3175" t="s">
        <v>4187</v>
      </c>
      <c r="O1409" s="3176">
        <v>26.98</v>
      </c>
      <c r="P1409" s="3176">
        <v>8.49</v>
      </c>
    </row>
    <row r="1410" spans="1:16" ht="15" thickBot="1">
      <c r="A1410" s="3174">
        <v>1408</v>
      </c>
      <c r="B1410" s="3175" t="s">
        <v>4851</v>
      </c>
      <c r="C1410" s="3176">
        <v>89.2</v>
      </c>
      <c r="D1410" s="3176">
        <v>28.09</v>
      </c>
      <c r="F1410" s="3177">
        <v>1408</v>
      </c>
      <c r="G1410" s="3175" t="s">
        <v>4721</v>
      </c>
      <c r="H1410" s="3178">
        <v>-2012</v>
      </c>
      <c r="I1410" s="3179">
        <v>10.35</v>
      </c>
      <c r="J1410" s="3179">
        <v>3.26</v>
      </c>
      <c r="L1410" s="3177">
        <v>1408</v>
      </c>
      <c r="M1410" s="3175">
        <v>-10622</v>
      </c>
      <c r="N1410" s="3175" t="s">
        <v>4187</v>
      </c>
      <c r="O1410" s="3176">
        <v>26.98</v>
      </c>
      <c r="P1410" s="3176">
        <v>8.49</v>
      </c>
    </row>
    <row r="1411" spans="1:16" ht="15" thickBot="1">
      <c r="A1411" s="3174">
        <v>1409</v>
      </c>
      <c r="B1411" s="3175" t="s">
        <v>4852</v>
      </c>
      <c r="C1411" s="3176">
        <v>112.38</v>
      </c>
      <c r="D1411" s="3176">
        <v>35.39</v>
      </c>
      <c r="F1411" s="3177">
        <v>1409</v>
      </c>
      <c r="G1411" s="3175" t="s">
        <v>4721</v>
      </c>
      <c r="H1411" s="3178">
        <v>-2013</v>
      </c>
      <c r="I1411" s="3179">
        <v>10.35</v>
      </c>
      <c r="J1411" s="3179">
        <v>3.26</v>
      </c>
      <c r="L1411" s="3177">
        <v>1409</v>
      </c>
      <c r="M1411" s="3175">
        <v>-10623</v>
      </c>
      <c r="N1411" s="3175" t="s">
        <v>4187</v>
      </c>
      <c r="O1411" s="3176">
        <v>26.98</v>
      </c>
      <c r="P1411" s="3176">
        <v>8.49</v>
      </c>
    </row>
    <row r="1412" spans="1:16" ht="15" thickBot="1">
      <c r="A1412" s="3174">
        <v>1410</v>
      </c>
      <c r="B1412" s="3175" t="s">
        <v>4853</v>
      </c>
      <c r="C1412" s="3176">
        <v>88.92</v>
      </c>
      <c r="D1412" s="3176">
        <v>28.01</v>
      </c>
      <c r="F1412" s="3177">
        <v>1410</v>
      </c>
      <c r="G1412" s="3175" t="s">
        <v>4721</v>
      </c>
      <c r="H1412" s="3178">
        <v>-2014</v>
      </c>
      <c r="I1412" s="3179">
        <v>10.35</v>
      </c>
      <c r="J1412" s="3179">
        <v>3.26</v>
      </c>
      <c r="L1412" s="3177">
        <v>1410</v>
      </c>
      <c r="M1412" s="3175">
        <v>-10624</v>
      </c>
      <c r="N1412" s="3175" t="s">
        <v>4187</v>
      </c>
      <c r="O1412" s="3176">
        <v>26.98</v>
      </c>
      <c r="P1412" s="3176">
        <v>8.49</v>
      </c>
    </row>
    <row r="1413" spans="1:16" ht="15" thickBot="1">
      <c r="A1413" s="3174">
        <v>1411</v>
      </c>
      <c r="B1413" s="3175" t="s">
        <v>4854</v>
      </c>
      <c r="C1413" s="3176">
        <v>88.92</v>
      </c>
      <c r="D1413" s="3176">
        <v>28.01</v>
      </c>
      <c r="F1413" s="3177">
        <v>1411</v>
      </c>
      <c r="G1413" s="3175" t="s">
        <v>4721</v>
      </c>
      <c r="H1413" s="3178">
        <v>-2015</v>
      </c>
      <c r="I1413" s="3179">
        <v>10.18</v>
      </c>
      <c r="J1413" s="3179">
        <v>3.21</v>
      </c>
      <c r="L1413" s="3177">
        <v>1411</v>
      </c>
      <c r="M1413" s="3175">
        <v>-10625</v>
      </c>
      <c r="N1413" s="3175" t="s">
        <v>4187</v>
      </c>
      <c r="O1413" s="3176">
        <v>26.98</v>
      </c>
      <c r="P1413" s="3176">
        <v>8.49</v>
      </c>
    </row>
    <row r="1414" spans="1:16" ht="15" thickBot="1">
      <c r="A1414" s="3174">
        <v>1412</v>
      </c>
      <c r="B1414" s="3175" t="s">
        <v>4855</v>
      </c>
      <c r="C1414" s="3176">
        <v>89.2</v>
      </c>
      <c r="D1414" s="3176">
        <v>28.09</v>
      </c>
      <c r="F1414" s="3177">
        <v>1412</v>
      </c>
      <c r="G1414" s="3175" t="s">
        <v>4721</v>
      </c>
      <c r="H1414" s="3178">
        <v>-2016</v>
      </c>
      <c r="I1414" s="3179">
        <v>8.25</v>
      </c>
      <c r="J1414" s="3179">
        <v>2.6</v>
      </c>
      <c r="L1414" s="3177">
        <v>1412</v>
      </c>
      <c r="M1414" s="3175">
        <v>-10626</v>
      </c>
      <c r="N1414" s="3175" t="s">
        <v>4187</v>
      </c>
      <c r="O1414" s="3176">
        <v>26.98</v>
      </c>
      <c r="P1414" s="3176">
        <v>8.49</v>
      </c>
    </row>
    <row r="1415" spans="1:16" ht="15" thickBot="1">
      <c r="A1415" s="3174">
        <v>1413</v>
      </c>
      <c r="B1415" s="3175" t="s">
        <v>4856</v>
      </c>
      <c r="C1415" s="3176">
        <v>112.38</v>
      </c>
      <c r="D1415" s="3176">
        <v>35.39</v>
      </c>
      <c r="F1415" s="3177">
        <v>1413</v>
      </c>
      <c r="G1415" s="3175" t="s">
        <v>4721</v>
      </c>
      <c r="H1415" s="3178">
        <v>-2017</v>
      </c>
      <c r="I1415" s="3179">
        <v>8.3800000000000008</v>
      </c>
      <c r="J1415" s="3179">
        <v>2.64</v>
      </c>
      <c r="L1415" s="3177">
        <v>1413</v>
      </c>
      <c r="M1415" s="3175">
        <v>-10627</v>
      </c>
      <c r="N1415" s="3175" t="s">
        <v>4187</v>
      </c>
      <c r="O1415" s="3176">
        <v>26.98</v>
      </c>
      <c r="P1415" s="3176">
        <v>8.49</v>
      </c>
    </row>
    <row r="1416" spans="1:16" ht="15" thickBot="1">
      <c r="A1416" s="3174">
        <v>1414</v>
      </c>
      <c r="B1416" s="3175" t="s">
        <v>4857</v>
      </c>
      <c r="C1416" s="3176">
        <v>88.92</v>
      </c>
      <c r="D1416" s="3176">
        <v>28.01</v>
      </c>
      <c r="F1416" s="3177">
        <v>1414</v>
      </c>
      <c r="G1416" s="3175" t="s">
        <v>4721</v>
      </c>
      <c r="H1416" s="3178">
        <v>-2018</v>
      </c>
      <c r="I1416" s="3179">
        <v>9.24</v>
      </c>
      <c r="J1416" s="3179">
        <v>2.91</v>
      </c>
      <c r="L1416" s="3177">
        <v>1414</v>
      </c>
      <c r="M1416" s="3175">
        <v>-10628</v>
      </c>
      <c r="N1416" s="3175" t="s">
        <v>4187</v>
      </c>
      <c r="O1416" s="3176">
        <v>26.98</v>
      </c>
      <c r="P1416" s="3176">
        <v>8.49</v>
      </c>
    </row>
    <row r="1417" spans="1:16" ht="15" thickBot="1">
      <c r="A1417" s="3174">
        <v>1415</v>
      </c>
      <c r="B1417" s="3175" t="s">
        <v>4858</v>
      </c>
      <c r="C1417" s="3176">
        <v>88.92</v>
      </c>
      <c r="D1417" s="3176">
        <v>28.01</v>
      </c>
      <c r="F1417" s="3177">
        <v>1415</v>
      </c>
      <c r="G1417" s="3175" t="s">
        <v>4721</v>
      </c>
      <c r="H1417" s="3178">
        <v>-2019</v>
      </c>
      <c r="I1417" s="3179">
        <v>9.24</v>
      </c>
      <c r="J1417" s="3179">
        <v>2.91</v>
      </c>
      <c r="L1417" s="3177">
        <v>1415</v>
      </c>
      <c r="M1417" s="3175">
        <v>-10629</v>
      </c>
      <c r="N1417" s="3175" t="s">
        <v>4187</v>
      </c>
      <c r="O1417" s="3176">
        <v>26.98</v>
      </c>
      <c r="P1417" s="3176">
        <v>8.49</v>
      </c>
    </row>
    <row r="1418" spans="1:16" ht="15" thickBot="1">
      <c r="A1418" s="3174">
        <v>1416</v>
      </c>
      <c r="B1418" s="3175" t="s">
        <v>4859</v>
      </c>
      <c r="C1418" s="3176">
        <v>89.2</v>
      </c>
      <c r="D1418" s="3176">
        <v>28.09</v>
      </c>
      <c r="F1418" s="3177">
        <v>1416</v>
      </c>
      <c r="G1418" s="3175" t="s">
        <v>4721</v>
      </c>
      <c r="H1418" s="3178">
        <v>-2020</v>
      </c>
      <c r="I1418" s="3179">
        <v>9.5299999999999994</v>
      </c>
      <c r="J1418" s="3179">
        <v>3</v>
      </c>
      <c r="L1418" s="3177">
        <v>1416</v>
      </c>
      <c r="M1418" s="3175">
        <v>-10630</v>
      </c>
      <c r="N1418" s="3175" t="s">
        <v>4187</v>
      </c>
      <c r="O1418" s="3176">
        <v>26.98</v>
      </c>
      <c r="P1418" s="3176">
        <v>8.49</v>
      </c>
    </row>
    <row r="1419" spans="1:16" ht="15" thickBot="1">
      <c r="A1419" s="3174">
        <v>1417</v>
      </c>
      <c r="B1419" s="3175" t="s">
        <v>4860</v>
      </c>
      <c r="C1419" s="3176">
        <v>112.38</v>
      </c>
      <c r="D1419" s="3176">
        <v>35.39</v>
      </c>
      <c r="F1419" s="3177">
        <v>1417</v>
      </c>
      <c r="G1419" s="3175" t="s">
        <v>4721</v>
      </c>
      <c r="H1419" s="3178">
        <v>-2021</v>
      </c>
      <c r="I1419" s="3179">
        <v>11.29</v>
      </c>
      <c r="J1419" s="3179">
        <v>3.55</v>
      </c>
      <c r="L1419" s="3177">
        <v>1417</v>
      </c>
      <c r="M1419" s="3175">
        <v>-10631</v>
      </c>
      <c r="N1419" s="3175" t="s">
        <v>4187</v>
      </c>
      <c r="O1419" s="3176">
        <v>26.98</v>
      </c>
      <c r="P1419" s="3176">
        <v>8.49</v>
      </c>
    </row>
    <row r="1420" spans="1:16" ht="15" thickBot="1">
      <c r="A1420" s="3174">
        <v>1418</v>
      </c>
      <c r="B1420" s="3175" t="s">
        <v>4861</v>
      </c>
      <c r="C1420" s="3176">
        <v>88.92</v>
      </c>
      <c r="D1420" s="3176">
        <v>28.01</v>
      </c>
      <c r="F1420" s="3177">
        <v>1418</v>
      </c>
      <c r="G1420" s="3175" t="s">
        <v>4721</v>
      </c>
      <c r="H1420" s="3178">
        <v>-2022</v>
      </c>
      <c r="I1420" s="3179">
        <v>10.97</v>
      </c>
      <c r="J1420" s="3179">
        <v>3.45</v>
      </c>
      <c r="L1420" s="3177">
        <v>1418</v>
      </c>
      <c r="M1420" s="3175">
        <v>-10632</v>
      </c>
      <c r="N1420" s="3175" t="s">
        <v>4187</v>
      </c>
      <c r="O1420" s="3176">
        <v>26.98</v>
      </c>
      <c r="P1420" s="3176">
        <v>8.49</v>
      </c>
    </row>
    <row r="1421" spans="1:16" ht="15" thickBot="1">
      <c r="A1421" s="3174">
        <v>1419</v>
      </c>
      <c r="B1421" s="3175" t="s">
        <v>4862</v>
      </c>
      <c r="C1421" s="3176">
        <v>88.92</v>
      </c>
      <c r="D1421" s="3176">
        <v>28.01</v>
      </c>
      <c r="F1421" s="3177">
        <v>1419</v>
      </c>
      <c r="G1421" s="3175" t="s">
        <v>4721</v>
      </c>
      <c r="H1421" s="3178">
        <v>-2023</v>
      </c>
      <c r="I1421" s="3179">
        <v>8.4700000000000006</v>
      </c>
      <c r="J1421" s="3179">
        <v>2.67</v>
      </c>
      <c r="L1421" s="3177">
        <v>1419</v>
      </c>
      <c r="M1421" s="3175">
        <v>-10633</v>
      </c>
      <c r="N1421" s="3175" t="s">
        <v>4187</v>
      </c>
      <c r="O1421" s="3176">
        <v>26.98</v>
      </c>
      <c r="P1421" s="3176">
        <v>8.49</v>
      </c>
    </row>
    <row r="1422" spans="1:16" ht="15" thickBot="1">
      <c r="A1422" s="3174">
        <v>1420</v>
      </c>
      <c r="B1422" s="3175" t="s">
        <v>4863</v>
      </c>
      <c r="C1422" s="3176">
        <v>89.2</v>
      </c>
      <c r="D1422" s="3176">
        <v>28.09</v>
      </c>
      <c r="F1422" s="3177">
        <v>1420</v>
      </c>
      <c r="G1422" s="3175" t="s">
        <v>4721</v>
      </c>
      <c r="H1422" s="3178">
        <v>-2024</v>
      </c>
      <c r="I1422" s="3179">
        <v>10.35</v>
      </c>
      <c r="J1422" s="3179">
        <v>3.26</v>
      </c>
      <c r="L1422" s="3177">
        <v>1420</v>
      </c>
      <c r="M1422" s="3175">
        <v>-10634</v>
      </c>
      <c r="N1422" s="3175" t="s">
        <v>4187</v>
      </c>
      <c r="O1422" s="3176">
        <v>26.98</v>
      </c>
      <c r="P1422" s="3176">
        <v>8.49</v>
      </c>
    </row>
    <row r="1423" spans="1:16" ht="15" thickBot="1">
      <c r="A1423" s="3174">
        <v>1421</v>
      </c>
      <c r="B1423" s="3175" t="s">
        <v>4864</v>
      </c>
      <c r="C1423" s="3176">
        <v>89.57</v>
      </c>
      <c r="D1423" s="3176">
        <v>28.21</v>
      </c>
      <c r="F1423" s="3177">
        <v>1421</v>
      </c>
      <c r="G1423" s="3175" t="s">
        <v>4721</v>
      </c>
      <c r="H1423" s="3178">
        <v>-2025</v>
      </c>
      <c r="I1423" s="3179">
        <v>10.35</v>
      </c>
      <c r="J1423" s="3179">
        <v>3.26</v>
      </c>
      <c r="L1423" s="3177">
        <v>1421</v>
      </c>
      <c r="M1423" s="3175">
        <v>-10635</v>
      </c>
      <c r="N1423" s="3175" t="s">
        <v>4187</v>
      </c>
      <c r="O1423" s="3176">
        <v>26.98</v>
      </c>
      <c r="P1423" s="3176">
        <v>8.49</v>
      </c>
    </row>
    <row r="1424" spans="1:16" ht="15" thickBot="1">
      <c r="A1424" s="3174">
        <v>1422</v>
      </c>
      <c r="B1424" s="3175" t="s">
        <v>4865</v>
      </c>
      <c r="C1424" s="3176">
        <v>89.29</v>
      </c>
      <c r="D1424" s="3176">
        <v>28.12</v>
      </c>
      <c r="F1424" s="3177">
        <v>1422</v>
      </c>
      <c r="G1424" s="3175" t="s">
        <v>4721</v>
      </c>
      <c r="H1424" s="3178">
        <v>-2026</v>
      </c>
      <c r="I1424" s="3179">
        <v>10.35</v>
      </c>
      <c r="J1424" s="3179">
        <v>3.26</v>
      </c>
      <c r="L1424" s="3177">
        <v>1422</v>
      </c>
      <c r="M1424" s="3175">
        <v>-10636</v>
      </c>
      <c r="N1424" s="3175" t="s">
        <v>4187</v>
      </c>
      <c r="O1424" s="3176">
        <v>26.98</v>
      </c>
      <c r="P1424" s="3176">
        <v>8.49</v>
      </c>
    </row>
    <row r="1425" spans="1:16" ht="15" thickBot="1">
      <c r="A1425" s="3174">
        <v>1423</v>
      </c>
      <c r="B1425" s="3175" t="s">
        <v>4866</v>
      </c>
      <c r="C1425" s="3176">
        <v>89.29</v>
      </c>
      <c r="D1425" s="3176">
        <v>28.12</v>
      </c>
      <c r="F1425" s="3177">
        <v>1423</v>
      </c>
      <c r="G1425" s="3175" t="s">
        <v>4721</v>
      </c>
      <c r="H1425" s="3178">
        <v>-2027</v>
      </c>
      <c r="I1425" s="3179">
        <v>10.42</v>
      </c>
      <c r="J1425" s="3179">
        <v>3.28</v>
      </c>
      <c r="L1425" s="3177">
        <v>1423</v>
      </c>
      <c r="M1425" s="3175">
        <v>-10637</v>
      </c>
      <c r="N1425" s="3175" t="s">
        <v>4187</v>
      </c>
      <c r="O1425" s="3176">
        <v>26.98</v>
      </c>
      <c r="P1425" s="3176">
        <v>8.49</v>
      </c>
    </row>
    <row r="1426" spans="1:16" ht="15" thickBot="1">
      <c r="A1426" s="3174">
        <v>1424</v>
      </c>
      <c r="B1426" s="3175" t="s">
        <v>4867</v>
      </c>
      <c r="C1426" s="3176">
        <v>113.46</v>
      </c>
      <c r="D1426" s="3176">
        <v>35.729999999999997</v>
      </c>
      <c r="F1426" s="3177">
        <v>1424</v>
      </c>
      <c r="G1426" s="3175" t="s">
        <v>4721</v>
      </c>
      <c r="H1426" s="3178">
        <v>-2028</v>
      </c>
      <c r="I1426" s="3179">
        <v>10.42</v>
      </c>
      <c r="J1426" s="3179">
        <v>3.28</v>
      </c>
      <c r="L1426" s="3177">
        <v>1424</v>
      </c>
      <c r="M1426" s="3175">
        <v>-10638</v>
      </c>
      <c r="N1426" s="3175" t="s">
        <v>4187</v>
      </c>
      <c r="O1426" s="3176">
        <v>26.98</v>
      </c>
      <c r="P1426" s="3176">
        <v>8.49</v>
      </c>
    </row>
    <row r="1427" spans="1:16" ht="15" thickBot="1">
      <c r="A1427" s="3174">
        <v>1425</v>
      </c>
      <c r="B1427" s="3175" t="s">
        <v>4868</v>
      </c>
      <c r="C1427" s="3176">
        <v>89.57</v>
      </c>
      <c r="D1427" s="3176">
        <v>28.21</v>
      </c>
      <c r="F1427" s="3177">
        <v>1425</v>
      </c>
      <c r="G1427" s="3175" t="s">
        <v>4721</v>
      </c>
      <c r="H1427" s="3178">
        <v>-2029</v>
      </c>
      <c r="I1427" s="3179">
        <v>10.42</v>
      </c>
      <c r="J1427" s="3179">
        <v>3.28</v>
      </c>
      <c r="L1427" s="3177">
        <v>1425</v>
      </c>
      <c r="M1427" s="3175">
        <v>-10639</v>
      </c>
      <c r="N1427" s="3175" t="s">
        <v>4187</v>
      </c>
      <c r="O1427" s="3176">
        <v>26.98</v>
      </c>
      <c r="P1427" s="3176">
        <v>8.49</v>
      </c>
    </row>
    <row r="1428" spans="1:16" ht="15" thickBot="1">
      <c r="A1428" s="3174">
        <v>1426</v>
      </c>
      <c r="B1428" s="3175" t="s">
        <v>4869</v>
      </c>
      <c r="C1428" s="3176">
        <v>89.29</v>
      </c>
      <c r="D1428" s="3176">
        <v>28.12</v>
      </c>
      <c r="F1428" s="3177">
        <v>1426</v>
      </c>
      <c r="G1428" s="3175" t="s">
        <v>4721</v>
      </c>
      <c r="H1428" s="3178">
        <v>-2030</v>
      </c>
      <c r="I1428" s="3179">
        <v>10.35</v>
      </c>
      <c r="J1428" s="3179">
        <v>3.26</v>
      </c>
      <c r="L1428" s="3177">
        <v>1426</v>
      </c>
      <c r="M1428" s="3175">
        <v>-10640</v>
      </c>
      <c r="N1428" s="3175" t="s">
        <v>4187</v>
      </c>
      <c r="O1428" s="3176">
        <v>26.98</v>
      </c>
      <c r="P1428" s="3176">
        <v>8.49</v>
      </c>
    </row>
    <row r="1429" spans="1:16" ht="15" thickBot="1">
      <c r="A1429" s="3174">
        <v>1427</v>
      </c>
      <c r="B1429" s="3175" t="s">
        <v>4870</v>
      </c>
      <c r="C1429" s="3176">
        <v>89.29</v>
      </c>
      <c r="D1429" s="3176">
        <v>28.12</v>
      </c>
      <c r="F1429" s="3177">
        <v>1427</v>
      </c>
      <c r="G1429" s="3175" t="s">
        <v>4721</v>
      </c>
      <c r="H1429" s="3178">
        <v>-2031</v>
      </c>
      <c r="I1429" s="3179">
        <v>10.35</v>
      </c>
      <c r="J1429" s="3179">
        <v>3.26</v>
      </c>
      <c r="L1429" s="3177">
        <v>1427</v>
      </c>
      <c r="M1429" s="3175">
        <v>-10641</v>
      </c>
      <c r="N1429" s="3175" t="s">
        <v>4187</v>
      </c>
      <c r="O1429" s="3176">
        <v>26.98</v>
      </c>
      <c r="P1429" s="3176">
        <v>8.49</v>
      </c>
    </row>
    <row r="1430" spans="1:16" ht="15" thickBot="1">
      <c r="A1430" s="3174">
        <v>1428</v>
      </c>
      <c r="B1430" s="3175" t="s">
        <v>4871</v>
      </c>
      <c r="C1430" s="3176">
        <v>113.46</v>
      </c>
      <c r="D1430" s="3176">
        <v>35.729999999999997</v>
      </c>
      <c r="F1430" s="3177">
        <v>1428</v>
      </c>
      <c r="G1430" s="3175" t="s">
        <v>4721</v>
      </c>
      <c r="H1430" s="3178">
        <v>-2032</v>
      </c>
      <c r="I1430" s="3179">
        <v>8.52</v>
      </c>
      <c r="J1430" s="3179">
        <v>2.68</v>
      </c>
      <c r="L1430" s="3177">
        <v>1428</v>
      </c>
      <c r="M1430" s="3175">
        <v>-10642</v>
      </c>
      <c r="N1430" s="3175" t="s">
        <v>4187</v>
      </c>
      <c r="O1430" s="3176">
        <v>26.98</v>
      </c>
      <c r="P1430" s="3176">
        <v>8.49</v>
      </c>
    </row>
    <row r="1431" spans="1:16" ht="15" thickBot="1">
      <c r="A1431" s="3174">
        <v>1429</v>
      </c>
      <c r="B1431" s="3175" t="s">
        <v>4872</v>
      </c>
      <c r="C1431" s="3176">
        <v>89.57</v>
      </c>
      <c r="D1431" s="3176">
        <v>28.21</v>
      </c>
      <c r="F1431" s="3177">
        <v>1429</v>
      </c>
      <c r="G1431" s="3175" t="s">
        <v>4721</v>
      </c>
      <c r="H1431" s="3178">
        <v>-2033</v>
      </c>
      <c r="I1431" s="3179">
        <v>11.04</v>
      </c>
      <c r="J1431" s="3179">
        <v>3.48</v>
      </c>
      <c r="L1431" s="3177">
        <v>1429</v>
      </c>
      <c r="M1431" s="3175">
        <v>-10643</v>
      </c>
      <c r="N1431" s="3175" t="s">
        <v>4187</v>
      </c>
      <c r="O1431" s="3176">
        <v>26.98</v>
      </c>
      <c r="P1431" s="3176">
        <v>8.49</v>
      </c>
    </row>
    <row r="1432" spans="1:16" ht="15" thickBot="1">
      <c r="A1432" s="3174">
        <v>1430</v>
      </c>
      <c r="B1432" s="3175" t="s">
        <v>4873</v>
      </c>
      <c r="C1432" s="3176">
        <v>89.29</v>
      </c>
      <c r="D1432" s="3176">
        <v>28.12</v>
      </c>
      <c r="F1432" s="3177">
        <v>1430</v>
      </c>
      <c r="G1432" s="3175" t="s">
        <v>4721</v>
      </c>
      <c r="H1432" s="3178">
        <v>-2034</v>
      </c>
      <c r="I1432" s="3179">
        <v>11.36</v>
      </c>
      <c r="J1432" s="3179">
        <v>3.58</v>
      </c>
      <c r="L1432" s="3177">
        <v>1430</v>
      </c>
      <c r="M1432" s="3175">
        <v>-10644</v>
      </c>
      <c r="N1432" s="3175" t="s">
        <v>4187</v>
      </c>
      <c r="O1432" s="3176">
        <v>26.98</v>
      </c>
      <c r="P1432" s="3176">
        <v>8.49</v>
      </c>
    </row>
    <row r="1433" spans="1:16" ht="15" thickBot="1">
      <c r="A1433" s="3174">
        <v>1431</v>
      </c>
      <c r="B1433" s="3175" t="s">
        <v>4874</v>
      </c>
      <c r="C1433" s="3176">
        <v>89.29</v>
      </c>
      <c r="D1433" s="3176">
        <v>28.12</v>
      </c>
      <c r="F1433" s="3177">
        <v>1431</v>
      </c>
      <c r="G1433" s="3175" t="s">
        <v>4721</v>
      </c>
      <c r="H1433" s="3178">
        <v>-2035</v>
      </c>
      <c r="I1433" s="3179">
        <v>9.66</v>
      </c>
      <c r="J1433" s="3179">
        <v>3.04</v>
      </c>
      <c r="L1433" s="3177">
        <v>1431</v>
      </c>
      <c r="M1433" s="3175">
        <v>-10645</v>
      </c>
      <c r="N1433" s="3175" t="s">
        <v>4187</v>
      </c>
      <c r="O1433" s="3176">
        <v>26.98</v>
      </c>
      <c r="P1433" s="3176">
        <v>8.49</v>
      </c>
    </row>
    <row r="1434" spans="1:16" ht="15" thickBot="1">
      <c r="A1434" s="3174">
        <v>1432</v>
      </c>
      <c r="B1434" s="3175" t="s">
        <v>4875</v>
      </c>
      <c r="C1434" s="3176">
        <v>113.46</v>
      </c>
      <c r="D1434" s="3176">
        <v>35.729999999999997</v>
      </c>
      <c r="F1434" s="3177">
        <v>1432</v>
      </c>
      <c r="G1434" s="3175" t="s">
        <v>4721</v>
      </c>
      <c r="H1434" s="3178">
        <v>-2036</v>
      </c>
      <c r="I1434" s="3179">
        <v>8.67</v>
      </c>
      <c r="J1434" s="3179">
        <v>2.73</v>
      </c>
      <c r="L1434" s="3177">
        <v>1432</v>
      </c>
      <c r="M1434" s="3175">
        <v>-10646</v>
      </c>
      <c r="N1434" s="3175" t="s">
        <v>4187</v>
      </c>
      <c r="O1434" s="3176">
        <v>26.98</v>
      </c>
      <c r="P1434" s="3176">
        <v>8.49</v>
      </c>
    </row>
    <row r="1435" spans="1:16" ht="15" thickBot="1">
      <c r="A1435" s="3174">
        <v>1433</v>
      </c>
      <c r="B1435" s="3175" t="s">
        <v>4876</v>
      </c>
      <c r="C1435" s="3176">
        <v>89.57</v>
      </c>
      <c r="D1435" s="3176">
        <v>28.21</v>
      </c>
      <c r="F1435" s="3177">
        <v>1433</v>
      </c>
      <c r="G1435" s="3175" t="s">
        <v>4721</v>
      </c>
      <c r="H1435" s="3178">
        <v>-2037</v>
      </c>
      <c r="I1435" s="3179">
        <v>8.5299999999999994</v>
      </c>
      <c r="J1435" s="3179">
        <v>2.69</v>
      </c>
      <c r="L1435" s="3177">
        <v>1433</v>
      </c>
      <c r="M1435" s="3175">
        <v>-10647</v>
      </c>
      <c r="N1435" s="3175" t="s">
        <v>4187</v>
      </c>
      <c r="O1435" s="3176">
        <v>26.98</v>
      </c>
      <c r="P1435" s="3176">
        <v>8.49</v>
      </c>
    </row>
    <row r="1436" spans="1:16" ht="15" thickBot="1">
      <c r="A1436" s="3174">
        <v>1434</v>
      </c>
      <c r="B1436" s="3175" t="s">
        <v>4877</v>
      </c>
      <c r="C1436" s="3176">
        <v>89.29</v>
      </c>
      <c r="D1436" s="3176">
        <v>28.12</v>
      </c>
      <c r="F1436" s="3177">
        <v>1434</v>
      </c>
      <c r="G1436" s="3175" t="s">
        <v>4721</v>
      </c>
      <c r="H1436" s="3178">
        <v>-2038</v>
      </c>
      <c r="I1436" s="3179">
        <v>11.26</v>
      </c>
      <c r="J1436" s="3179">
        <v>3.55</v>
      </c>
      <c r="L1436" s="3177">
        <v>1434</v>
      </c>
      <c r="M1436" s="3175">
        <v>-10648</v>
      </c>
      <c r="N1436" s="3175" t="s">
        <v>4187</v>
      </c>
      <c r="O1436" s="3176">
        <v>26.98</v>
      </c>
      <c r="P1436" s="3176">
        <v>8.49</v>
      </c>
    </row>
    <row r="1437" spans="1:16" ht="15" thickBot="1">
      <c r="A1437" s="3174">
        <v>1435</v>
      </c>
      <c r="B1437" s="3175" t="s">
        <v>4878</v>
      </c>
      <c r="C1437" s="3176">
        <v>89.29</v>
      </c>
      <c r="D1437" s="3176">
        <v>28.12</v>
      </c>
      <c r="F1437" s="3177">
        <v>1435</v>
      </c>
      <c r="G1437" s="3175" t="s">
        <v>4721</v>
      </c>
      <c r="H1437" s="3178">
        <v>-2039</v>
      </c>
      <c r="I1437" s="3179">
        <v>5.87</v>
      </c>
      <c r="J1437" s="3179">
        <v>1.85</v>
      </c>
      <c r="L1437" s="3177">
        <v>1435</v>
      </c>
      <c r="M1437" s="3175">
        <v>-10649</v>
      </c>
      <c r="N1437" s="3175" t="s">
        <v>4187</v>
      </c>
      <c r="O1437" s="3176">
        <v>26.98</v>
      </c>
      <c r="P1437" s="3176">
        <v>8.49</v>
      </c>
    </row>
    <row r="1438" spans="1:16" ht="15" thickBot="1">
      <c r="A1438" s="3174">
        <v>1436</v>
      </c>
      <c r="B1438" s="3175" t="s">
        <v>4879</v>
      </c>
      <c r="C1438" s="3176">
        <v>113.46</v>
      </c>
      <c r="D1438" s="3176">
        <v>35.729999999999997</v>
      </c>
      <c r="F1438" s="3177">
        <v>1436</v>
      </c>
      <c r="G1438" s="3175" t="s">
        <v>4721</v>
      </c>
      <c r="H1438" s="3178">
        <v>-2040</v>
      </c>
      <c r="I1438" s="3179">
        <v>6.82</v>
      </c>
      <c r="J1438" s="3179">
        <v>2.15</v>
      </c>
      <c r="L1438" s="3177">
        <v>1436</v>
      </c>
      <c r="M1438" s="3175">
        <v>-10650</v>
      </c>
      <c r="N1438" s="3175" t="s">
        <v>4187</v>
      </c>
      <c r="O1438" s="3176">
        <v>26.98</v>
      </c>
      <c r="P1438" s="3176">
        <v>8.49</v>
      </c>
    </row>
    <row r="1439" spans="1:16" ht="15" thickBot="1">
      <c r="A1439" s="3174">
        <v>1437</v>
      </c>
      <c r="B1439" s="3175" t="s">
        <v>4880</v>
      </c>
      <c r="C1439" s="3176">
        <v>89.57</v>
      </c>
      <c r="D1439" s="3176">
        <v>28.21</v>
      </c>
      <c r="F1439" s="3177">
        <v>1437</v>
      </c>
      <c r="G1439" s="3175" t="s">
        <v>4721</v>
      </c>
      <c r="H1439" s="3178">
        <v>-2041</v>
      </c>
      <c r="I1439" s="3179">
        <v>6.45</v>
      </c>
      <c r="J1439" s="3179">
        <v>2.0299999999999998</v>
      </c>
      <c r="L1439" s="3177">
        <v>1437</v>
      </c>
      <c r="M1439" s="3175">
        <v>-10651</v>
      </c>
      <c r="N1439" s="3175" t="s">
        <v>4187</v>
      </c>
      <c r="O1439" s="3176">
        <v>26.98</v>
      </c>
      <c r="P1439" s="3176">
        <v>8.49</v>
      </c>
    </row>
    <row r="1440" spans="1:16" ht="15" thickBot="1">
      <c r="A1440" s="3174">
        <v>1438</v>
      </c>
      <c r="B1440" s="3175" t="s">
        <v>4881</v>
      </c>
      <c r="C1440" s="3176">
        <v>89.29</v>
      </c>
      <c r="D1440" s="3176">
        <v>28.12</v>
      </c>
      <c r="F1440" s="3177">
        <v>1438</v>
      </c>
      <c r="G1440" s="3175" t="s">
        <v>4721</v>
      </c>
      <c r="H1440" s="3178">
        <v>-2042</v>
      </c>
      <c r="I1440" s="3179">
        <v>7.73</v>
      </c>
      <c r="J1440" s="3179">
        <v>2.4300000000000002</v>
      </c>
      <c r="L1440" s="3177">
        <v>1438</v>
      </c>
      <c r="M1440" s="3175">
        <v>-10652</v>
      </c>
      <c r="N1440" s="3175" t="s">
        <v>4187</v>
      </c>
      <c r="O1440" s="3176">
        <v>26.98</v>
      </c>
      <c r="P1440" s="3176">
        <v>8.49</v>
      </c>
    </row>
    <row r="1441" spans="1:16" ht="15" thickBot="1">
      <c r="A1441" s="3174">
        <v>1439</v>
      </c>
      <c r="B1441" s="3175" t="s">
        <v>4882</v>
      </c>
      <c r="C1441" s="3176">
        <v>89.29</v>
      </c>
      <c r="D1441" s="3176">
        <v>28.12</v>
      </c>
      <c r="F1441" s="3177">
        <v>1439</v>
      </c>
      <c r="G1441" s="3175" t="s">
        <v>4721</v>
      </c>
      <c r="H1441" s="3178">
        <v>-2043</v>
      </c>
      <c r="I1441" s="3179">
        <v>7.96</v>
      </c>
      <c r="J1441" s="3179">
        <v>2.5099999999999998</v>
      </c>
      <c r="L1441" s="3177">
        <v>1439</v>
      </c>
      <c r="M1441" s="3175">
        <v>-10653</v>
      </c>
      <c r="N1441" s="3175" t="s">
        <v>4187</v>
      </c>
      <c r="O1441" s="3176">
        <v>26.98</v>
      </c>
      <c r="P1441" s="3176">
        <v>8.49</v>
      </c>
    </row>
    <row r="1442" spans="1:16" ht="15" thickBot="1">
      <c r="A1442" s="3174">
        <v>1440</v>
      </c>
      <c r="B1442" s="3175" t="s">
        <v>4883</v>
      </c>
      <c r="C1442" s="3176">
        <v>113.46</v>
      </c>
      <c r="D1442" s="3176">
        <v>35.729999999999997</v>
      </c>
      <c r="F1442" s="3177">
        <v>1440</v>
      </c>
      <c r="G1442" s="3175" t="s">
        <v>4721</v>
      </c>
      <c r="H1442" s="3178">
        <v>-2044</v>
      </c>
      <c r="I1442" s="3179">
        <v>8.18</v>
      </c>
      <c r="J1442" s="3179">
        <v>2.58</v>
      </c>
      <c r="L1442" s="3177">
        <v>1440</v>
      </c>
      <c r="M1442" s="3175">
        <v>-10654</v>
      </c>
      <c r="N1442" s="3175" t="s">
        <v>4187</v>
      </c>
      <c r="O1442" s="3176">
        <v>26.98</v>
      </c>
      <c r="P1442" s="3176">
        <v>8.49</v>
      </c>
    </row>
    <row r="1443" spans="1:16" ht="15" thickBot="1">
      <c r="A1443" s="3174">
        <v>1441</v>
      </c>
      <c r="B1443" s="3175" t="s">
        <v>4884</v>
      </c>
      <c r="C1443" s="3176">
        <v>89.57</v>
      </c>
      <c r="D1443" s="3176">
        <v>28.21</v>
      </c>
      <c r="F1443" s="3177">
        <v>1441</v>
      </c>
      <c r="G1443" s="3175" t="s">
        <v>4721</v>
      </c>
      <c r="H1443" s="3178">
        <v>-2045</v>
      </c>
      <c r="I1443" s="3179">
        <v>9.64</v>
      </c>
      <c r="J1443" s="3179">
        <v>3.04</v>
      </c>
      <c r="L1443" s="3177">
        <v>1441</v>
      </c>
      <c r="M1443" s="3175">
        <v>-10655</v>
      </c>
      <c r="N1443" s="3175" t="s">
        <v>4187</v>
      </c>
      <c r="O1443" s="3176">
        <v>26.98</v>
      </c>
      <c r="P1443" s="3176">
        <v>8.49</v>
      </c>
    </row>
    <row r="1444" spans="1:16" ht="15" thickBot="1">
      <c r="A1444" s="3174">
        <v>1442</v>
      </c>
      <c r="B1444" s="3175" t="s">
        <v>4885</v>
      </c>
      <c r="C1444" s="3176">
        <v>89.29</v>
      </c>
      <c r="D1444" s="3176">
        <v>28.12</v>
      </c>
      <c r="F1444" s="3177">
        <v>1442</v>
      </c>
      <c r="G1444" s="3175" t="s">
        <v>4721</v>
      </c>
      <c r="H1444" s="3178">
        <v>-2046</v>
      </c>
      <c r="I1444" s="3179">
        <v>8.52</v>
      </c>
      <c r="J1444" s="3179">
        <v>2.68</v>
      </c>
      <c r="L1444" s="3177">
        <v>1442</v>
      </c>
      <c r="M1444" s="3175">
        <v>-10656</v>
      </c>
      <c r="N1444" s="3175" t="s">
        <v>4187</v>
      </c>
      <c r="O1444" s="3176">
        <v>26.98</v>
      </c>
      <c r="P1444" s="3176">
        <v>8.49</v>
      </c>
    </row>
    <row r="1445" spans="1:16" ht="15" thickBot="1">
      <c r="A1445" s="3174">
        <v>1443</v>
      </c>
      <c r="B1445" s="3175" t="s">
        <v>4886</v>
      </c>
      <c r="C1445" s="3176">
        <v>89.29</v>
      </c>
      <c r="D1445" s="3176">
        <v>28.12</v>
      </c>
      <c r="F1445" s="3177">
        <v>1443</v>
      </c>
      <c r="G1445" s="3175" t="s">
        <v>4721</v>
      </c>
      <c r="H1445" s="3178">
        <v>-2047</v>
      </c>
      <c r="I1445" s="3179">
        <v>8.77</v>
      </c>
      <c r="J1445" s="3179">
        <v>2.76</v>
      </c>
      <c r="L1445" s="3177">
        <v>1443</v>
      </c>
      <c r="M1445" s="3175">
        <v>-10657</v>
      </c>
      <c r="N1445" s="3175" t="s">
        <v>4187</v>
      </c>
      <c r="O1445" s="3176">
        <v>26.98</v>
      </c>
      <c r="P1445" s="3176">
        <v>8.49</v>
      </c>
    </row>
    <row r="1446" spans="1:16" ht="15" thickBot="1">
      <c r="A1446" s="3174">
        <v>1444</v>
      </c>
      <c r="B1446" s="3175" t="s">
        <v>4887</v>
      </c>
      <c r="C1446" s="3176">
        <v>113.46</v>
      </c>
      <c r="D1446" s="3176">
        <v>35.729999999999997</v>
      </c>
      <c r="F1446" s="3177">
        <v>1444</v>
      </c>
      <c r="G1446" s="3175" t="s">
        <v>4721</v>
      </c>
      <c r="H1446" s="3178">
        <v>-2048</v>
      </c>
      <c r="I1446" s="3179">
        <v>8.64</v>
      </c>
      <c r="J1446" s="3179">
        <v>2.72</v>
      </c>
      <c r="L1446" s="3177">
        <v>1444</v>
      </c>
      <c r="M1446" s="3175">
        <v>-10658</v>
      </c>
      <c r="N1446" s="3175" t="s">
        <v>4187</v>
      </c>
      <c r="O1446" s="3176">
        <v>26.98</v>
      </c>
      <c r="P1446" s="3176">
        <v>8.49</v>
      </c>
    </row>
    <row r="1447" spans="1:16" ht="15" thickBot="1">
      <c r="A1447" s="3174">
        <v>1445</v>
      </c>
      <c r="B1447" s="3175" t="s">
        <v>4888</v>
      </c>
      <c r="C1447" s="3176">
        <v>89.57</v>
      </c>
      <c r="D1447" s="3176">
        <v>28.21</v>
      </c>
      <c r="F1447" s="3177">
        <v>1445</v>
      </c>
      <c r="G1447" s="3175" t="s">
        <v>4721</v>
      </c>
      <c r="H1447" s="3178">
        <v>-2049</v>
      </c>
      <c r="I1447" s="3179">
        <v>6.23</v>
      </c>
      <c r="J1447" s="3179">
        <v>1.96</v>
      </c>
      <c r="L1447" s="3177">
        <v>1445</v>
      </c>
      <c r="M1447" s="3175">
        <v>-10659</v>
      </c>
      <c r="N1447" s="3175" t="s">
        <v>4187</v>
      </c>
      <c r="O1447" s="3176">
        <v>26.98</v>
      </c>
      <c r="P1447" s="3176">
        <v>8.49</v>
      </c>
    </row>
    <row r="1448" spans="1:16" ht="15" thickBot="1">
      <c r="A1448" s="3174">
        <v>1446</v>
      </c>
      <c r="B1448" s="3175" t="s">
        <v>4889</v>
      </c>
      <c r="C1448" s="3176">
        <v>89.29</v>
      </c>
      <c r="D1448" s="3176">
        <v>28.12</v>
      </c>
      <c r="F1448" s="3177">
        <v>1446</v>
      </c>
      <c r="G1448" s="3175" t="s">
        <v>4721</v>
      </c>
      <c r="H1448" s="3178">
        <v>-2050</v>
      </c>
      <c r="I1448" s="3179">
        <v>6.55</v>
      </c>
      <c r="J1448" s="3179">
        <v>2.06</v>
      </c>
      <c r="L1448" s="3177">
        <v>1446</v>
      </c>
      <c r="M1448" s="3175">
        <v>-10660</v>
      </c>
      <c r="N1448" s="3175" t="s">
        <v>4187</v>
      </c>
      <c r="O1448" s="3176">
        <v>26.98</v>
      </c>
      <c r="P1448" s="3176">
        <v>8.49</v>
      </c>
    </row>
    <row r="1449" spans="1:16" ht="15" thickBot="1">
      <c r="A1449" s="3174">
        <v>1447</v>
      </c>
      <c r="B1449" s="3175" t="s">
        <v>4890</v>
      </c>
      <c r="C1449" s="3176">
        <v>89.29</v>
      </c>
      <c r="D1449" s="3176">
        <v>28.12</v>
      </c>
      <c r="F1449" s="3177">
        <v>1447</v>
      </c>
      <c r="G1449" s="3175" t="s">
        <v>4721</v>
      </c>
      <c r="H1449" s="3178">
        <v>-2051</v>
      </c>
      <c r="I1449" s="3179">
        <v>6.55</v>
      </c>
      <c r="J1449" s="3179">
        <v>2.06</v>
      </c>
      <c r="L1449" s="3177">
        <v>1447</v>
      </c>
      <c r="M1449" s="3175">
        <v>-10661</v>
      </c>
      <c r="N1449" s="3175" t="s">
        <v>4187</v>
      </c>
      <c r="O1449" s="3176">
        <v>26.98</v>
      </c>
      <c r="P1449" s="3176">
        <v>8.49</v>
      </c>
    </row>
    <row r="1450" spans="1:16" ht="15" thickBot="1">
      <c r="A1450" s="3174">
        <v>1448</v>
      </c>
      <c r="B1450" s="3175" t="s">
        <v>4891</v>
      </c>
      <c r="C1450" s="3176">
        <v>113.46</v>
      </c>
      <c r="D1450" s="3176">
        <v>35.729999999999997</v>
      </c>
      <c r="F1450" s="3177">
        <v>1448</v>
      </c>
      <c r="G1450" s="3175" t="s">
        <v>4721</v>
      </c>
      <c r="H1450" s="3178">
        <v>-2052</v>
      </c>
      <c r="I1450" s="3179">
        <v>6.55</v>
      </c>
      <c r="J1450" s="3179">
        <v>2.06</v>
      </c>
      <c r="L1450" s="3177">
        <v>1448</v>
      </c>
      <c r="M1450" s="3175">
        <v>-10662</v>
      </c>
      <c r="N1450" s="3175" t="s">
        <v>4187</v>
      </c>
      <c r="O1450" s="3176">
        <v>26.98</v>
      </c>
      <c r="P1450" s="3176">
        <v>8.49</v>
      </c>
    </row>
    <row r="1451" spans="1:16" ht="15" thickBot="1">
      <c r="A1451" s="3174">
        <v>1449</v>
      </c>
      <c r="B1451" s="3175" t="s">
        <v>4892</v>
      </c>
      <c r="C1451" s="3176">
        <v>89.57</v>
      </c>
      <c r="D1451" s="3176">
        <v>28.21</v>
      </c>
      <c r="F1451" s="3177">
        <v>1449</v>
      </c>
      <c r="G1451" s="3175" t="s">
        <v>4721</v>
      </c>
      <c r="H1451" s="3178">
        <v>-2053</v>
      </c>
      <c r="I1451" s="3179">
        <v>7.47</v>
      </c>
      <c r="J1451" s="3179">
        <v>2.35</v>
      </c>
      <c r="L1451" s="3177">
        <v>1449</v>
      </c>
      <c r="M1451" s="3175">
        <v>-10663</v>
      </c>
      <c r="N1451" s="3175" t="s">
        <v>4187</v>
      </c>
      <c r="O1451" s="3176">
        <v>26.98</v>
      </c>
      <c r="P1451" s="3176">
        <v>8.49</v>
      </c>
    </row>
    <row r="1452" spans="1:16" ht="15" thickBot="1">
      <c r="A1452" s="3174">
        <v>1450</v>
      </c>
      <c r="B1452" s="3175" t="s">
        <v>4893</v>
      </c>
      <c r="C1452" s="3176">
        <v>89.29</v>
      </c>
      <c r="D1452" s="3176">
        <v>28.12</v>
      </c>
      <c r="F1452" s="3177">
        <v>1450</v>
      </c>
      <c r="G1452" s="3175" t="s">
        <v>4721</v>
      </c>
      <c r="H1452" s="3178">
        <v>-2054</v>
      </c>
      <c r="I1452" s="3179">
        <v>7.17</v>
      </c>
      <c r="J1452" s="3179">
        <v>2.2599999999999998</v>
      </c>
      <c r="L1452" s="3177">
        <v>1450</v>
      </c>
      <c r="M1452" s="3175">
        <v>-10664</v>
      </c>
      <c r="N1452" s="3175" t="s">
        <v>4187</v>
      </c>
      <c r="O1452" s="3176">
        <v>26.98</v>
      </c>
      <c r="P1452" s="3176">
        <v>8.49</v>
      </c>
    </row>
    <row r="1453" spans="1:16" ht="15" thickBot="1">
      <c r="A1453" s="3174">
        <v>1451</v>
      </c>
      <c r="B1453" s="3175" t="s">
        <v>4894</v>
      </c>
      <c r="C1453" s="3176">
        <v>89.29</v>
      </c>
      <c r="D1453" s="3176">
        <v>28.12</v>
      </c>
      <c r="F1453" s="3177">
        <v>1451</v>
      </c>
      <c r="G1453" s="3175" t="s">
        <v>4721</v>
      </c>
      <c r="H1453" s="3178">
        <v>-2055</v>
      </c>
      <c r="I1453" s="3179">
        <v>7.17</v>
      </c>
      <c r="J1453" s="3179">
        <v>2.2599999999999998</v>
      </c>
      <c r="L1453" s="3177">
        <v>1451</v>
      </c>
      <c r="M1453" s="3175">
        <v>-10665</v>
      </c>
      <c r="N1453" s="3175" t="s">
        <v>4187</v>
      </c>
      <c r="O1453" s="3176">
        <v>26.98</v>
      </c>
      <c r="P1453" s="3176">
        <v>8.49</v>
      </c>
    </row>
    <row r="1454" spans="1:16" ht="15" thickBot="1">
      <c r="A1454" s="3174">
        <v>1452</v>
      </c>
      <c r="B1454" s="3175" t="s">
        <v>4895</v>
      </c>
      <c r="C1454" s="3176">
        <v>113.46</v>
      </c>
      <c r="D1454" s="3176">
        <v>35.729999999999997</v>
      </c>
      <c r="F1454" s="3177">
        <v>1452</v>
      </c>
      <c r="G1454" s="3175" t="s">
        <v>4721</v>
      </c>
      <c r="H1454" s="3178">
        <v>-2056</v>
      </c>
      <c r="I1454" s="3179">
        <v>7.39</v>
      </c>
      <c r="J1454" s="3179">
        <v>2.33</v>
      </c>
      <c r="L1454" s="3177">
        <v>1452</v>
      </c>
      <c r="M1454" s="3175">
        <v>-10666</v>
      </c>
      <c r="N1454" s="3175" t="s">
        <v>4187</v>
      </c>
      <c r="O1454" s="3176">
        <v>26.98</v>
      </c>
      <c r="P1454" s="3176">
        <v>8.49</v>
      </c>
    </row>
    <row r="1455" spans="1:16" ht="15" thickBot="1">
      <c r="A1455" s="3174">
        <v>1453</v>
      </c>
      <c r="B1455" s="3175" t="s">
        <v>4896</v>
      </c>
      <c r="C1455" s="3176">
        <v>89.57</v>
      </c>
      <c r="D1455" s="3176">
        <v>28.21</v>
      </c>
      <c r="F1455" s="3177">
        <v>1453</v>
      </c>
      <c r="G1455" s="3175" t="s">
        <v>4721</v>
      </c>
      <c r="H1455" s="3178">
        <v>-2057</v>
      </c>
      <c r="I1455" s="3179">
        <v>8.64</v>
      </c>
      <c r="J1455" s="3179">
        <v>2.72</v>
      </c>
      <c r="L1455" s="3177">
        <v>1453</v>
      </c>
      <c r="M1455" s="3175">
        <v>-10667</v>
      </c>
      <c r="N1455" s="3175" t="s">
        <v>4187</v>
      </c>
      <c r="O1455" s="3176">
        <v>26.98</v>
      </c>
      <c r="P1455" s="3176">
        <v>8.49</v>
      </c>
    </row>
    <row r="1456" spans="1:16" ht="15" thickBot="1">
      <c r="A1456" s="3174">
        <v>1454</v>
      </c>
      <c r="B1456" s="3175" t="s">
        <v>4897</v>
      </c>
      <c r="C1456" s="3176">
        <v>89.29</v>
      </c>
      <c r="D1456" s="3176">
        <v>28.12</v>
      </c>
      <c r="F1456" s="3177">
        <v>1454</v>
      </c>
      <c r="G1456" s="3175" t="s">
        <v>4721</v>
      </c>
      <c r="H1456" s="3178">
        <v>-2058</v>
      </c>
      <c r="I1456" s="3179">
        <v>8.77</v>
      </c>
      <c r="J1456" s="3179">
        <v>2.76</v>
      </c>
      <c r="L1456" s="3177">
        <v>1454</v>
      </c>
      <c r="M1456" s="3175">
        <v>-10668</v>
      </c>
      <c r="N1456" s="3175" t="s">
        <v>4187</v>
      </c>
      <c r="O1456" s="3176">
        <v>26.98</v>
      </c>
      <c r="P1456" s="3176">
        <v>8.49</v>
      </c>
    </row>
    <row r="1457" spans="1:16" ht="15" thickBot="1">
      <c r="A1457" s="3174">
        <v>1455</v>
      </c>
      <c r="B1457" s="3175" t="s">
        <v>4898</v>
      </c>
      <c r="C1457" s="3176">
        <v>89.29</v>
      </c>
      <c r="D1457" s="3176">
        <v>28.12</v>
      </c>
      <c r="F1457" s="3177">
        <v>1455</v>
      </c>
      <c r="G1457" s="3175" t="s">
        <v>4721</v>
      </c>
      <c r="H1457" s="3178">
        <v>-2059</v>
      </c>
      <c r="I1457" s="3179">
        <v>8.52</v>
      </c>
      <c r="J1457" s="3179">
        <v>2.68</v>
      </c>
      <c r="L1457" s="3177">
        <v>1455</v>
      </c>
      <c r="M1457" s="3175">
        <v>-10669</v>
      </c>
      <c r="N1457" s="3175" t="s">
        <v>4187</v>
      </c>
      <c r="O1457" s="3176">
        <v>26.98</v>
      </c>
      <c r="P1457" s="3176">
        <v>8.49</v>
      </c>
    </row>
    <row r="1458" spans="1:16" ht="15" thickBot="1">
      <c r="A1458" s="3174">
        <v>1456</v>
      </c>
      <c r="B1458" s="3175" t="s">
        <v>4899</v>
      </c>
      <c r="C1458" s="3176">
        <v>113.46</v>
      </c>
      <c r="D1458" s="3176">
        <v>35.729999999999997</v>
      </c>
      <c r="F1458" s="3177">
        <v>1456</v>
      </c>
      <c r="G1458" s="3175" t="s">
        <v>4721</v>
      </c>
      <c r="H1458" s="3178">
        <v>-2060</v>
      </c>
      <c r="I1458" s="3179">
        <v>8.33</v>
      </c>
      <c r="J1458" s="3179">
        <v>2.62</v>
      </c>
      <c r="L1458" s="3177">
        <v>1456</v>
      </c>
      <c r="M1458" s="3175">
        <v>-10670</v>
      </c>
      <c r="N1458" s="3175" t="s">
        <v>4187</v>
      </c>
      <c r="O1458" s="3176">
        <v>26.98</v>
      </c>
      <c r="P1458" s="3176">
        <v>8.49</v>
      </c>
    </row>
    <row r="1459" spans="1:16" ht="15" thickBot="1">
      <c r="A1459" s="3174">
        <v>1457</v>
      </c>
      <c r="B1459" s="3175" t="s">
        <v>4900</v>
      </c>
      <c r="C1459" s="3176">
        <v>89.57</v>
      </c>
      <c r="D1459" s="3176">
        <v>28.21</v>
      </c>
      <c r="F1459" s="3177">
        <v>1457</v>
      </c>
      <c r="G1459" s="3175" t="s">
        <v>4721</v>
      </c>
      <c r="H1459" s="3178">
        <v>-2061</v>
      </c>
      <c r="I1459" s="3179">
        <v>8.1</v>
      </c>
      <c r="J1459" s="3179">
        <v>2.5499999999999998</v>
      </c>
      <c r="L1459" s="3177">
        <v>1457</v>
      </c>
      <c r="M1459" s="3175">
        <v>-10671</v>
      </c>
      <c r="N1459" s="3175" t="s">
        <v>4187</v>
      </c>
      <c r="O1459" s="3176">
        <v>26.98</v>
      </c>
      <c r="P1459" s="3176">
        <v>8.49</v>
      </c>
    </row>
    <row r="1460" spans="1:16" ht="15" thickBot="1">
      <c r="A1460" s="3174">
        <v>1458</v>
      </c>
      <c r="B1460" s="3175" t="s">
        <v>4901</v>
      </c>
      <c r="C1460" s="3176">
        <v>89.29</v>
      </c>
      <c r="D1460" s="3176">
        <v>28.12</v>
      </c>
      <c r="F1460" s="3177">
        <v>1458</v>
      </c>
      <c r="G1460" s="3175" t="s">
        <v>4721</v>
      </c>
      <c r="H1460" s="3178">
        <v>-2062</v>
      </c>
      <c r="I1460" s="3179">
        <v>7.88</v>
      </c>
      <c r="J1460" s="3179">
        <v>2.48</v>
      </c>
      <c r="L1460" s="3177">
        <v>1458</v>
      </c>
      <c r="M1460" s="3175">
        <v>-10672</v>
      </c>
      <c r="N1460" s="3175" t="s">
        <v>4187</v>
      </c>
      <c r="O1460" s="3176">
        <v>26.98</v>
      </c>
      <c r="P1460" s="3176">
        <v>8.49</v>
      </c>
    </row>
    <row r="1461" spans="1:16" ht="15" thickBot="1">
      <c r="A1461" s="3174">
        <v>1459</v>
      </c>
      <c r="B1461" s="3175" t="s">
        <v>4902</v>
      </c>
      <c r="C1461" s="3176">
        <v>89.29</v>
      </c>
      <c r="D1461" s="3176">
        <v>28.12</v>
      </c>
      <c r="F1461" s="3177">
        <v>1459</v>
      </c>
      <c r="G1461" s="3175" t="s">
        <v>4721</v>
      </c>
      <c r="H1461" s="3178">
        <v>-2063</v>
      </c>
      <c r="I1461" s="3179">
        <v>14.85</v>
      </c>
      <c r="J1461" s="3179">
        <v>4.68</v>
      </c>
      <c r="L1461" s="3177">
        <v>1459</v>
      </c>
      <c r="M1461" s="3175">
        <v>-10673</v>
      </c>
      <c r="N1461" s="3175" t="s">
        <v>4187</v>
      </c>
      <c r="O1461" s="3176">
        <v>26.98</v>
      </c>
      <c r="P1461" s="3176">
        <v>8.49</v>
      </c>
    </row>
    <row r="1462" spans="1:16" ht="15" thickBot="1">
      <c r="A1462" s="3174">
        <v>1460</v>
      </c>
      <c r="B1462" s="3175" t="s">
        <v>4903</v>
      </c>
      <c r="C1462" s="3176">
        <v>113.46</v>
      </c>
      <c r="D1462" s="3176">
        <v>35.729999999999997</v>
      </c>
      <c r="F1462" s="3177">
        <v>1460</v>
      </c>
      <c r="G1462" s="3175" t="s">
        <v>4721</v>
      </c>
      <c r="H1462" s="3178">
        <v>-2064</v>
      </c>
      <c r="I1462" s="3179">
        <v>8.6199999999999992</v>
      </c>
      <c r="J1462" s="3179">
        <v>2.71</v>
      </c>
      <c r="L1462" s="3177">
        <v>1460</v>
      </c>
      <c r="M1462" s="3175">
        <v>-10674</v>
      </c>
      <c r="N1462" s="3175" t="s">
        <v>4187</v>
      </c>
      <c r="O1462" s="3176">
        <v>26.98</v>
      </c>
      <c r="P1462" s="3176">
        <v>8.49</v>
      </c>
    </row>
    <row r="1463" spans="1:16" ht="15" thickBot="1">
      <c r="A1463" s="3174">
        <v>1461</v>
      </c>
      <c r="B1463" s="3175" t="s">
        <v>4904</v>
      </c>
      <c r="C1463" s="3176">
        <v>89.57</v>
      </c>
      <c r="D1463" s="3176">
        <v>28.21</v>
      </c>
      <c r="F1463" s="3177">
        <v>1461</v>
      </c>
      <c r="G1463" s="3175" t="s">
        <v>4721</v>
      </c>
      <c r="H1463" s="3178">
        <v>-2065</v>
      </c>
      <c r="I1463" s="3179">
        <v>11.63</v>
      </c>
      <c r="J1463" s="3179">
        <v>3.66</v>
      </c>
      <c r="L1463" s="3177">
        <v>1461</v>
      </c>
      <c r="M1463" s="3175">
        <v>-10675</v>
      </c>
      <c r="N1463" s="3175" t="s">
        <v>4187</v>
      </c>
      <c r="O1463" s="3176">
        <v>26.98</v>
      </c>
      <c r="P1463" s="3176">
        <v>8.49</v>
      </c>
    </row>
    <row r="1464" spans="1:16" ht="15" thickBot="1">
      <c r="A1464" s="3174">
        <v>1462</v>
      </c>
      <c r="B1464" s="3175" t="s">
        <v>4905</v>
      </c>
      <c r="C1464" s="3176">
        <v>89.29</v>
      </c>
      <c r="D1464" s="3176">
        <v>28.12</v>
      </c>
      <c r="F1464" s="3177">
        <v>1462</v>
      </c>
      <c r="G1464" s="3175" t="s">
        <v>4721</v>
      </c>
      <c r="H1464" s="3178">
        <v>-2066</v>
      </c>
      <c r="I1464" s="3179">
        <v>8.1999999999999993</v>
      </c>
      <c r="J1464" s="3179">
        <v>2.58</v>
      </c>
      <c r="L1464" s="3177">
        <v>1462</v>
      </c>
      <c r="M1464" s="3175">
        <v>-10676</v>
      </c>
      <c r="N1464" s="3175" t="s">
        <v>4187</v>
      </c>
      <c r="O1464" s="3176">
        <v>26.98</v>
      </c>
      <c r="P1464" s="3176">
        <v>8.49</v>
      </c>
    </row>
    <row r="1465" spans="1:16" ht="15" thickBot="1">
      <c r="A1465" s="3174">
        <v>1463</v>
      </c>
      <c r="B1465" s="3175" t="s">
        <v>4906</v>
      </c>
      <c r="C1465" s="3176">
        <v>89.29</v>
      </c>
      <c r="D1465" s="3176">
        <v>28.12</v>
      </c>
      <c r="F1465" s="3177">
        <v>1463</v>
      </c>
      <c r="G1465" s="3175" t="s">
        <v>4721</v>
      </c>
      <c r="H1465" s="3178">
        <v>-2067</v>
      </c>
      <c r="I1465" s="3179">
        <v>11.6</v>
      </c>
      <c r="J1465" s="3179">
        <v>3.65</v>
      </c>
      <c r="L1465" s="3177">
        <v>1463</v>
      </c>
      <c r="M1465" s="3175">
        <v>-10677</v>
      </c>
      <c r="N1465" s="3175" t="s">
        <v>4187</v>
      </c>
      <c r="O1465" s="3176">
        <v>26.98</v>
      </c>
      <c r="P1465" s="3176">
        <v>8.49</v>
      </c>
    </row>
    <row r="1466" spans="1:16" ht="15" thickBot="1">
      <c r="A1466" s="3174">
        <v>1464</v>
      </c>
      <c r="B1466" s="3175" t="s">
        <v>4907</v>
      </c>
      <c r="C1466" s="3176">
        <v>113.46</v>
      </c>
      <c r="D1466" s="3176">
        <v>35.729999999999997</v>
      </c>
      <c r="F1466" s="3177">
        <v>1464</v>
      </c>
      <c r="G1466" s="3175" t="s">
        <v>4721</v>
      </c>
      <c r="H1466" s="3178">
        <v>-2068</v>
      </c>
      <c r="I1466" s="3179">
        <v>11.6</v>
      </c>
      <c r="J1466" s="3179">
        <v>3.65</v>
      </c>
      <c r="L1466" s="3177">
        <v>1464</v>
      </c>
      <c r="M1466" s="3175">
        <v>-10678</v>
      </c>
      <c r="N1466" s="3175" t="s">
        <v>4187</v>
      </c>
      <c r="O1466" s="3176">
        <v>26.98</v>
      </c>
      <c r="P1466" s="3176">
        <v>8.49</v>
      </c>
    </row>
    <row r="1467" spans="1:16" ht="15" thickBot="1">
      <c r="A1467" s="3174">
        <v>1465</v>
      </c>
      <c r="B1467" s="3175" t="s">
        <v>4908</v>
      </c>
      <c r="C1467" s="3176">
        <v>89.57</v>
      </c>
      <c r="D1467" s="3176">
        <v>28.21</v>
      </c>
      <c r="F1467" s="3177">
        <v>1465</v>
      </c>
      <c r="G1467" s="3175" t="s">
        <v>4721</v>
      </c>
      <c r="H1467" s="3178">
        <v>-2069</v>
      </c>
      <c r="I1467" s="3179">
        <v>11.73</v>
      </c>
      <c r="J1467" s="3179">
        <v>3.69</v>
      </c>
      <c r="L1467" s="3177">
        <v>1465</v>
      </c>
      <c r="M1467" s="3175">
        <v>-10679</v>
      </c>
      <c r="N1467" s="3175" t="s">
        <v>4187</v>
      </c>
      <c r="O1467" s="3176">
        <v>26.98</v>
      </c>
      <c r="P1467" s="3176">
        <v>8.49</v>
      </c>
    </row>
    <row r="1468" spans="1:16" ht="15" thickBot="1">
      <c r="A1468" s="3174">
        <v>1466</v>
      </c>
      <c r="B1468" s="3175" t="s">
        <v>4909</v>
      </c>
      <c r="C1468" s="3176">
        <v>89.29</v>
      </c>
      <c r="D1468" s="3176">
        <v>28.12</v>
      </c>
      <c r="F1468" s="3177">
        <v>1466</v>
      </c>
      <c r="G1468" s="3175" t="s">
        <v>4721</v>
      </c>
      <c r="H1468" s="3178">
        <v>-2070</v>
      </c>
      <c r="I1468" s="3179">
        <v>11.73</v>
      </c>
      <c r="J1468" s="3179">
        <v>3.69</v>
      </c>
      <c r="L1468" s="3177">
        <v>1466</v>
      </c>
      <c r="M1468" s="3175">
        <v>-10680</v>
      </c>
      <c r="N1468" s="3175" t="s">
        <v>4187</v>
      </c>
      <c r="O1468" s="3176">
        <v>26.98</v>
      </c>
      <c r="P1468" s="3176">
        <v>8.49</v>
      </c>
    </row>
    <row r="1469" spans="1:16" ht="15" thickBot="1">
      <c r="A1469" s="3174">
        <v>1467</v>
      </c>
      <c r="B1469" s="3175" t="s">
        <v>4910</v>
      </c>
      <c r="C1469" s="3176">
        <v>89.29</v>
      </c>
      <c r="D1469" s="3176">
        <v>28.12</v>
      </c>
      <c r="F1469" s="3177">
        <v>1467</v>
      </c>
      <c r="G1469" s="3175" t="s">
        <v>4721</v>
      </c>
      <c r="H1469" s="3178">
        <v>-2071</v>
      </c>
      <c r="I1469" s="3179">
        <v>7.86</v>
      </c>
      <c r="J1469" s="3179">
        <v>2.4700000000000002</v>
      </c>
      <c r="L1469" s="3177">
        <v>1467</v>
      </c>
      <c r="M1469" s="3175">
        <v>-10681</v>
      </c>
      <c r="N1469" s="3175" t="s">
        <v>4187</v>
      </c>
      <c r="O1469" s="3176">
        <v>26.98</v>
      </c>
      <c r="P1469" s="3176">
        <v>8.49</v>
      </c>
    </row>
    <row r="1470" spans="1:16" ht="15" thickBot="1">
      <c r="A1470" s="3174">
        <v>1468</v>
      </c>
      <c r="B1470" s="3175" t="s">
        <v>4911</v>
      </c>
      <c r="C1470" s="3176">
        <v>113.46</v>
      </c>
      <c r="D1470" s="3176">
        <v>35.729999999999997</v>
      </c>
      <c r="F1470" s="3177">
        <v>1468</v>
      </c>
      <c r="G1470" s="3175" t="s">
        <v>4721</v>
      </c>
      <c r="H1470" s="3178">
        <v>-2072</v>
      </c>
      <c r="I1470" s="3179">
        <v>8.1</v>
      </c>
      <c r="J1470" s="3179">
        <v>2.5499999999999998</v>
      </c>
      <c r="L1470" s="3177">
        <v>1468</v>
      </c>
      <c r="M1470" s="3175">
        <v>-10682</v>
      </c>
      <c r="N1470" s="3175" t="s">
        <v>4187</v>
      </c>
      <c r="O1470" s="3176">
        <v>26.98</v>
      </c>
      <c r="P1470" s="3176">
        <v>8.49</v>
      </c>
    </row>
    <row r="1471" spans="1:16" ht="15" thickBot="1">
      <c r="A1471" s="3174">
        <v>1469</v>
      </c>
      <c r="B1471" s="3175" t="s">
        <v>4912</v>
      </c>
      <c r="C1471" s="3176">
        <v>89.57</v>
      </c>
      <c r="D1471" s="3176">
        <v>28.21</v>
      </c>
      <c r="F1471" s="3177">
        <v>1469</v>
      </c>
      <c r="G1471" s="3175" t="s">
        <v>4721</v>
      </c>
      <c r="H1471" s="3178">
        <v>-2073</v>
      </c>
      <c r="I1471" s="3179">
        <v>8.33</v>
      </c>
      <c r="J1471" s="3179">
        <v>2.62</v>
      </c>
      <c r="L1471" s="3177">
        <v>1469</v>
      </c>
      <c r="M1471" s="3175">
        <v>-10683</v>
      </c>
      <c r="N1471" s="3175" t="s">
        <v>4187</v>
      </c>
      <c r="O1471" s="3176">
        <v>26.98</v>
      </c>
      <c r="P1471" s="3176">
        <v>8.49</v>
      </c>
    </row>
    <row r="1472" spans="1:16" ht="15" thickBot="1">
      <c r="A1472" s="3174">
        <v>1470</v>
      </c>
      <c r="B1472" s="3175" t="s">
        <v>4913</v>
      </c>
      <c r="C1472" s="3176">
        <v>89.29</v>
      </c>
      <c r="D1472" s="3176">
        <v>28.12</v>
      </c>
      <c r="F1472" s="3177">
        <v>1470</v>
      </c>
      <c r="G1472" s="3175" t="s">
        <v>4721</v>
      </c>
      <c r="H1472" s="3178">
        <v>-2074</v>
      </c>
      <c r="I1472" s="3179">
        <v>8.52</v>
      </c>
      <c r="J1472" s="3179">
        <v>2.68</v>
      </c>
      <c r="L1472" s="3177">
        <v>1470</v>
      </c>
      <c r="M1472" s="3175">
        <v>-10684</v>
      </c>
      <c r="N1472" s="3175" t="s">
        <v>4187</v>
      </c>
      <c r="O1472" s="3176">
        <v>26.98</v>
      </c>
      <c r="P1472" s="3176">
        <v>8.49</v>
      </c>
    </row>
    <row r="1473" spans="1:16" ht="15" thickBot="1">
      <c r="A1473" s="3174">
        <v>1471</v>
      </c>
      <c r="B1473" s="3175" t="s">
        <v>4914</v>
      </c>
      <c r="C1473" s="3176">
        <v>89.29</v>
      </c>
      <c r="D1473" s="3176">
        <v>28.12</v>
      </c>
      <c r="F1473" s="3177">
        <v>1471</v>
      </c>
      <c r="G1473" s="3175" t="s">
        <v>4721</v>
      </c>
      <c r="H1473" s="3178">
        <v>-2075</v>
      </c>
      <c r="I1473" s="3179">
        <v>8.77</v>
      </c>
      <c r="J1473" s="3179">
        <v>2.76</v>
      </c>
      <c r="L1473" s="3177">
        <v>1471</v>
      </c>
      <c r="M1473" s="3175">
        <v>-10685</v>
      </c>
      <c r="N1473" s="3175" t="s">
        <v>4187</v>
      </c>
      <c r="O1473" s="3176">
        <v>26.98</v>
      </c>
      <c r="P1473" s="3176">
        <v>8.49</v>
      </c>
    </row>
    <row r="1474" spans="1:16" ht="15" thickBot="1">
      <c r="A1474" s="3174">
        <v>1472</v>
      </c>
      <c r="B1474" s="3175" t="s">
        <v>4915</v>
      </c>
      <c r="C1474" s="3176">
        <v>113.46</v>
      </c>
      <c r="D1474" s="3176">
        <v>35.729999999999997</v>
      </c>
      <c r="F1474" s="3177">
        <v>1472</v>
      </c>
      <c r="G1474" s="3175" t="s">
        <v>4721</v>
      </c>
      <c r="H1474" s="3178">
        <v>-2076</v>
      </c>
      <c r="I1474" s="3179">
        <v>8.64</v>
      </c>
      <c r="J1474" s="3179">
        <v>2.72</v>
      </c>
      <c r="L1474" s="3177">
        <v>1472</v>
      </c>
      <c r="M1474" s="3175">
        <v>-10686</v>
      </c>
      <c r="N1474" s="3175" t="s">
        <v>4187</v>
      </c>
      <c r="O1474" s="3176">
        <v>26.98</v>
      </c>
      <c r="P1474" s="3176">
        <v>8.49</v>
      </c>
    </row>
    <row r="1475" spans="1:16" ht="15" thickBot="1">
      <c r="A1475" s="3174">
        <v>1473</v>
      </c>
      <c r="B1475" s="3175" t="s">
        <v>4916</v>
      </c>
      <c r="C1475" s="3176">
        <v>89.57</v>
      </c>
      <c r="D1475" s="3176">
        <v>28.21</v>
      </c>
      <c r="F1475" s="3177">
        <v>1473</v>
      </c>
      <c r="G1475" s="3175" t="s">
        <v>4721</v>
      </c>
      <c r="H1475" s="3178">
        <v>-2077</v>
      </c>
      <c r="I1475" s="3179">
        <v>7.39</v>
      </c>
      <c r="J1475" s="3179">
        <v>2.33</v>
      </c>
      <c r="L1475" s="3177">
        <v>1473</v>
      </c>
      <c r="M1475" s="3175">
        <v>-10687</v>
      </c>
      <c r="N1475" s="3175" t="s">
        <v>4187</v>
      </c>
      <c r="O1475" s="3176">
        <v>26.98</v>
      </c>
      <c r="P1475" s="3176">
        <v>8.49</v>
      </c>
    </row>
    <row r="1476" spans="1:16" ht="15" thickBot="1">
      <c r="A1476" s="3174">
        <v>1474</v>
      </c>
      <c r="B1476" s="3175" t="s">
        <v>4917</v>
      </c>
      <c r="C1476" s="3176">
        <v>89.29</v>
      </c>
      <c r="D1476" s="3176">
        <v>28.12</v>
      </c>
      <c r="F1476" s="3177">
        <v>1474</v>
      </c>
      <c r="G1476" s="3175" t="s">
        <v>4721</v>
      </c>
      <c r="H1476" s="3178">
        <v>-2078</v>
      </c>
      <c r="I1476" s="3179">
        <v>7.17</v>
      </c>
      <c r="J1476" s="3179">
        <v>2.2599999999999998</v>
      </c>
      <c r="L1476" s="3177">
        <v>1474</v>
      </c>
      <c r="M1476" s="3175">
        <v>-10688</v>
      </c>
      <c r="N1476" s="3175" t="s">
        <v>4187</v>
      </c>
      <c r="O1476" s="3176">
        <v>26.98</v>
      </c>
      <c r="P1476" s="3176">
        <v>8.49</v>
      </c>
    </row>
    <row r="1477" spans="1:16" ht="15" thickBot="1">
      <c r="A1477" s="3174">
        <v>1475</v>
      </c>
      <c r="B1477" s="3175" t="s">
        <v>4918</v>
      </c>
      <c r="C1477" s="3176">
        <v>89.29</v>
      </c>
      <c r="D1477" s="3176">
        <v>28.12</v>
      </c>
      <c r="F1477" s="3177">
        <v>1475</v>
      </c>
      <c r="G1477" s="3175" t="s">
        <v>4721</v>
      </c>
      <c r="H1477" s="3178">
        <v>-2079</v>
      </c>
      <c r="I1477" s="3179">
        <v>7.17</v>
      </c>
      <c r="J1477" s="3179">
        <v>2.2599999999999998</v>
      </c>
      <c r="L1477" s="3177">
        <v>1475</v>
      </c>
      <c r="M1477" s="3175">
        <v>-10689</v>
      </c>
      <c r="N1477" s="3175" t="s">
        <v>4187</v>
      </c>
      <c r="O1477" s="3176">
        <v>26.98</v>
      </c>
      <c r="P1477" s="3176">
        <v>8.49</v>
      </c>
    </row>
    <row r="1478" spans="1:16" ht="15" thickBot="1">
      <c r="A1478" s="3174">
        <v>1476</v>
      </c>
      <c r="B1478" s="3175" t="s">
        <v>4919</v>
      </c>
      <c r="C1478" s="3176">
        <v>113.46</v>
      </c>
      <c r="D1478" s="3176">
        <v>35.729999999999997</v>
      </c>
      <c r="F1478" s="3177">
        <v>1476</v>
      </c>
      <c r="G1478" s="3175" t="s">
        <v>4721</v>
      </c>
      <c r="H1478" s="3178">
        <v>-2080</v>
      </c>
      <c r="I1478" s="3179">
        <v>7.47</v>
      </c>
      <c r="J1478" s="3179">
        <v>2.35</v>
      </c>
      <c r="L1478" s="3177">
        <v>1476</v>
      </c>
      <c r="M1478" s="3175">
        <v>-10690</v>
      </c>
      <c r="N1478" s="3175" t="s">
        <v>4187</v>
      </c>
      <c r="O1478" s="3176">
        <v>26.98</v>
      </c>
      <c r="P1478" s="3176">
        <v>8.49</v>
      </c>
    </row>
    <row r="1479" spans="1:16" ht="15" thickBot="1">
      <c r="A1479" s="3174">
        <v>1477</v>
      </c>
      <c r="B1479" s="3175" t="s">
        <v>4920</v>
      </c>
      <c r="C1479" s="3176">
        <v>89.57</v>
      </c>
      <c r="D1479" s="3176">
        <v>28.21</v>
      </c>
      <c r="F1479" s="3177">
        <v>1477</v>
      </c>
      <c r="G1479" s="3175" t="s">
        <v>4721</v>
      </c>
      <c r="H1479" s="3178">
        <v>-2081</v>
      </c>
      <c r="I1479" s="3179">
        <v>7.47</v>
      </c>
      <c r="J1479" s="3179">
        <v>2.35</v>
      </c>
      <c r="L1479" s="3177">
        <v>1477</v>
      </c>
      <c r="M1479" s="3175">
        <v>-10691</v>
      </c>
      <c r="N1479" s="3175" t="s">
        <v>4187</v>
      </c>
      <c r="O1479" s="3176">
        <v>26.98</v>
      </c>
      <c r="P1479" s="3176">
        <v>8.49</v>
      </c>
    </row>
    <row r="1480" spans="1:16" ht="15" thickBot="1">
      <c r="A1480" s="3174">
        <v>1478</v>
      </c>
      <c r="B1480" s="3175" t="s">
        <v>4921</v>
      </c>
      <c r="C1480" s="3176">
        <v>89.29</v>
      </c>
      <c r="D1480" s="3176">
        <v>28.12</v>
      </c>
      <c r="F1480" s="3177">
        <v>1478</v>
      </c>
      <c r="G1480" s="3175" t="s">
        <v>4721</v>
      </c>
      <c r="H1480" s="3178">
        <v>-2082</v>
      </c>
      <c r="I1480" s="3179">
        <v>7.17</v>
      </c>
      <c r="J1480" s="3179">
        <v>2.2599999999999998</v>
      </c>
      <c r="L1480" s="3177">
        <v>1478</v>
      </c>
      <c r="M1480" s="3175">
        <v>-10692</v>
      </c>
      <c r="N1480" s="3175" t="s">
        <v>4187</v>
      </c>
      <c r="O1480" s="3176">
        <v>26.98</v>
      </c>
      <c r="P1480" s="3176">
        <v>8.49</v>
      </c>
    </row>
    <row r="1481" spans="1:16" ht="15" thickBot="1">
      <c r="A1481" s="3174">
        <v>1479</v>
      </c>
      <c r="B1481" s="3175" t="s">
        <v>4922</v>
      </c>
      <c r="C1481" s="3176">
        <v>89.29</v>
      </c>
      <c r="D1481" s="3176">
        <v>28.12</v>
      </c>
      <c r="F1481" s="3177">
        <v>1479</v>
      </c>
      <c r="G1481" s="3175" t="s">
        <v>4721</v>
      </c>
      <c r="H1481" s="3178">
        <v>-2083</v>
      </c>
      <c r="I1481" s="3179">
        <v>7.17</v>
      </c>
      <c r="J1481" s="3179">
        <v>2.2599999999999998</v>
      </c>
      <c r="L1481" s="3177">
        <v>1479</v>
      </c>
      <c r="M1481" s="3175">
        <v>-10693</v>
      </c>
      <c r="N1481" s="3175" t="s">
        <v>4187</v>
      </c>
      <c r="O1481" s="3176">
        <v>26.98</v>
      </c>
      <c r="P1481" s="3176">
        <v>8.49</v>
      </c>
    </row>
    <row r="1482" spans="1:16" ht="15" thickBot="1">
      <c r="A1482" s="3174">
        <v>1480</v>
      </c>
      <c r="B1482" s="3175" t="s">
        <v>4923</v>
      </c>
      <c r="C1482" s="3176">
        <v>113.46</v>
      </c>
      <c r="D1482" s="3176">
        <v>35.729999999999997</v>
      </c>
      <c r="F1482" s="3177">
        <v>1480</v>
      </c>
      <c r="G1482" s="3175" t="s">
        <v>4721</v>
      </c>
      <c r="H1482" s="3178">
        <v>-2084</v>
      </c>
      <c r="I1482" s="3179">
        <v>7.39</v>
      </c>
      <c r="J1482" s="3179">
        <v>2.33</v>
      </c>
      <c r="L1482" s="3177">
        <v>1480</v>
      </c>
      <c r="M1482" s="3175">
        <v>-10694</v>
      </c>
      <c r="N1482" s="3175" t="s">
        <v>4187</v>
      </c>
      <c r="O1482" s="3176">
        <v>26.98</v>
      </c>
      <c r="P1482" s="3176">
        <v>8.49</v>
      </c>
    </row>
    <row r="1483" spans="1:16" ht="15" thickBot="1">
      <c r="A1483" s="3281" t="s">
        <v>4924</v>
      </c>
      <c r="B1483" s="3282"/>
      <c r="C1483" s="3180">
        <v>140502.72</v>
      </c>
      <c r="D1483" s="3180">
        <v>44236.67</v>
      </c>
      <c r="F1483" s="3177">
        <v>1481</v>
      </c>
      <c r="G1483" s="3175" t="s">
        <v>4721</v>
      </c>
      <c r="H1483" s="3178">
        <v>-2085</v>
      </c>
      <c r="I1483" s="3179">
        <v>8.64</v>
      </c>
      <c r="J1483" s="3179">
        <v>2.72</v>
      </c>
      <c r="L1483" s="3177">
        <v>1481</v>
      </c>
      <c r="M1483" s="3175">
        <v>-10695</v>
      </c>
      <c r="N1483" s="3175" t="s">
        <v>4187</v>
      </c>
      <c r="O1483" s="3176">
        <v>26.98</v>
      </c>
      <c r="P1483" s="3176">
        <v>8.49</v>
      </c>
    </row>
    <row r="1484" spans="1:16" ht="15" thickBot="1">
      <c r="F1484" s="3177">
        <v>1482</v>
      </c>
      <c r="G1484" s="3175" t="s">
        <v>4721</v>
      </c>
      <c r="H1484" s="3178">
        <v>-2086</v>
      </c>
      <c r="I1484" s="3179">
        <v>8.77</v>
      </c>
      <c r="J1484" s="3179">
        <v>2.76</v>
      </c>
      <c r="L1484" s="3177">
        <v>1482</v>
      </c>
      <c r="M1484" s="3175">
        <v>-10696</v>
      </c>
      <c r="N1484" s="3175" t="s">
        <v>4187</v>
      </c>
      <c r="O1484" s="3176">
        <v>26.98</v>
      </c>
      <c r="P1484" s="3176">
        <v>8.49</v>
      </c>
    </row>
    <row r="1485" spans="1:16" ht="15" thickBot="1">
      <c r="F1485" s="3177">
        <v>1483</v>
      </c>
      <c r="G1485" s="3175" t="s">
        <v>4721</v>
      </c>
      <c r="H1485" s="3178">
        <v>-2087</v>
      </c>
      <c r="I1485" s="3179">
        <v>8.52</v>
      </c>
      <c r="J1485" s="3179">
        <v>2.68</v>
      </c>
      <c r="L1485" s="3177">
        <v>1483</v>
      </c>
      <c r="M1485" s="3175">
        <v>-10697</v>
      </c>
      <c r="N1485" s="3175" t="s">
        <v>4187</v>
      </c>
      <c r="O1485" s="3176">
        <v>26.98</v>
      </c>
      <c r="P1485" s="3176">
        <v>8.49</v>
      </c>
    </row>
    <row r="1486" spans="1:16" ht="15" thickBot="1">
      <c r="F1486" s="3177">
        <v>1484</v>
      </c>
      <c r="G1486" s="3175" t="s">
        <v>4721</v>
      </c>
      <c r="H1486" s="3178">
        <v>-2088</v>
      </c>
      <c r="I1486" s="3179">
        <v>11.14</v>
      </c>
      <c r="J1486" s="3179">
        <v>3.51</v>
      </c>
      <c r="L1486" s="3177">
        <v>1484</v>
      </c>
      <c r="M1486" s="3175">
        <v>-10698</v>
      </c>
      <c r="N1486" s="3175" t="s">
        <v>4187</v>
      </c>
      <c r="O1486" s="3176">
        <v>26.98</v>
      </c>
      <c r="P1486" s="3176">
        <v>8.49</v>
      </c>
    </row>
    <row r="1487" spans="1:16" ht="15" thickBot="1">
      <c r="F1487" s="3177">
        <v>1485</v>
      </c>
      <c r="G1487" s="3175" t="s">
        <v>4721</v>
      </c>
      <c r="H1487" s="3178">
        <v>-2089</v>
      </c>
      <c r="I1487" s="3179">
        <v>8.18</v>
      </c>
      <c r="J1487" s="3179">
        <v>2.58</v>
      </c>
      <c r="L1487" s="3177">
        <v>1485</v>
      </c>
      <c r="M1487" s="3175">
        <v>-10699</v>
      </c>
      <c r="N1487" s="3175" t="s">
        <v>4187</v>
      </c>
      <c r="O1487" s="3176">
        <v>26.98</v>
      </c>
      <c r="P1487" s="3176">
        <v>8.49</v>
      </c>
    </row>
    <row r="1488" spans="1:16" ht="15" thickBot="1">
      <c r="F1488" s="3177">
        <v>1486</v>
      </c>
      <c r="G1488" s="3175" t="s">
        <v>4721</v>
      </c>
      <c r="H1488" s="3178">
        <v>-2090</v>
      </c>
      <c r="I1488" s="3179">
        <v>7.96</v>
      </c>
      <c r="J1488" s="3179">
        <v>2.5099999999999998</v>
      </c>
      <c r="L1488" s="3177">
        <v>1486</v>
      </c>
      <c r="M1488" s="3175">
        <v>-10700</v>
      </c>
      <c r="N1488" s="3175" t="s">
        <v>4187</v>
      </c>
      <c r="O1488" s="3176">
        <v>26.98</v>
      </c>
      <c r="P1488" s="3176">
        <v>8.49</v>
      </c>
    </row>
    <row r="1489" spans="6:16" ht="15" thickBot="1">
      <c r="F1489" s="3177">
        <v>1487</v>
      </c>
      <c r="G1489" s="3175" t="s">
        <v>4721</v>
      </c>
      <c r="H1489" s="3178">
        <v>-2091</v>
      </c>
      <c r="I1489" s="3179">
        <v>7.51</v>
      </c>
      <c r="J1489" s="3179">
        <v>2.36</v>
      </c>
      <c r="L1489" s="3177">
        <v>1487</v>
      </c>
      <c r="M1489" s="3175">
        <v>-10701</v>
      </c>
      <c r="N1489" s="3175" t="s">
        <v>4187</v>
      </c>
      <c r="O1489" s="3176">
        <v>26.98</v>
      </c>
      <c r="P1489" s="3176">
        <v>8.49</v>
      </c>
    </row>
    <row r="1490" spans="6:16" ht="15" thickBot="1">
      <c r="F1490" s="3177">
        <v>1488</v>
      </c>
      <c r="G1490" s="3175" t="s">
        <v>4721</v>
      </c>
      <c r="H1490" s="3178">
        <v>-2092</v>
      </c>
      <c r="I1490" s="3179">
        <v>5.61</v>
      </c>
      <c r="J1490" s="3179">
        <v>1.77</v>
      </c>
      <c r="L1490" s="3177">
        <v>1488</v>
      </c>
      <c r="M1490" s="3175">
        <v>-10702</v>
      </c>
      <c r="N1490" s="3175" t="s">
        <v>4187</v>
      </c>
      <c r="O1490" s="3176">
        <v>26.98</v>
      </c>
      <c r="P1490" s="3176">
        <v>8.49</v>
      </c>
    </row>
    <row r="1491" spans="6:16" ht="15" thickBot="1">
      <c r="F1491" s="3177">
        <v>1489</v>
      </c>
      <c r="G1491" s="3175" t="s">
        <v>4721</v>
      </c>
      <c r="H1491" s="3178">
        <v>-2093</v>
      </c>
      <c r="I1491" s="3179">
        <v>5.76</v>
      </c>
      <c r="J1491" s="3179">
        <v>1.81</v>
      </c>
      <c r="L1491" s="3177">
        <v>1489</v>
      </c>
      <c r="M1491" s="3175">
        <v>-10703</v>
      </c>
      <c r="N1491" s="3175" t="s">
        <v>4187</v>
      </c>
      <c r="O1491" s="3176">
        <v>26.98</v>
      </c>
      <c r="P1491" s="3176">
        <v>8.49</v>
      </c>
    </row>
    <row r="1492" spans="6:16" ht="15" thickBot="1">
      <c r="F1492" s="3177">
        <v>1490</v>
      </c>
      <c r="G1492" s="3175" t="s">
        <v>4721</v>
      </c>
      <c r="H1492" s="3178">
        <v>-2094</v>
      </c>
      <c r="I1492" s="3179">
        <v>13.79</v>
      </c>
      <c r="J1492" s="3179">
        <v>4.34</v>
      </c>
      <c r="L1492" s="3177">
        <v>1490</v>
      </c>
      <c r="M1492" s="3175">
        <v>-10704</v>
      </c>
      <c r="N1492" s="3175" t="s">
        <v>4187</v>
      </c>
      <c r="O1492" s="3176">
        <v>26.98</v>
      </c>
      <c r="P1492" s="3176">
        <v>8.49</v>
      </c>
    </row>
    <row r="1493" spans="6:16" ht="15" thickBot="1">
      <c r="F1493" s="3177">
        <v>1491</v>
      </c>
      <c r="G1493" s="3175" t="s">
        <v>4721</v>
      </c>
      <c r="H1493" s="3178">
        <v>-2095</v>
      </c>
      <c r="I1493" s="3179">
        <v>7.68</v>
      </c>
      <c r="J1493" s="3179">
        <v>2.42</v>
      </c>
      <c r="L1493" s="3177">
        <v>1491</v>
      </c>
      <c r="M1493" s="3175">
        <v>-10705</v>
      </c>
      <c r="N1493" s="3175" t="s">
        <v>4187</v>
      </c>
      <c r="O1493" s="3176">
        <v>26.98</v>
      </c>
      <c r="P1493" s="3176">
        <v>8.49</v>
      </c>
    </row>
    <row r="1494" spans="6:16" ht="15" thickBot="1">
      <c r="F1494" s="3177">
        <v>1492</v>
      </c>
      <c r="G1494" s="3175" t="s">
        <v>4721</v>
      </c>
      <c r="H1494" s="3178">
        <v>-2096</v>
      </c>
      <c r="I1494" s="3179">
        <v>11.7</v>
      </c>
      <c r="J1494" s="3179">
        <v>3.68</v>
      </c>
      <c r="L1494" s="3177">
        <v>1492</v>
      </c>
      <c r="M1494" s="3175">
        <v>-10706</v>
      </c>
      <c r="N1494" s="3175" t="s">
        <v>4187</v>
      </c>
      <c r="O1494" s="3176">
        <v>26.98</v>
      </c>
      <c r="P1494" s="3176">
        <v>8.49</v>
      </c>
    </row>
    <row r="1495" spans="6:16" ht="15" thickBot="1">
      <c r="F1495" s="3177">
        <v>1493</v>
      </c>
      <c r="G1495" s="3175" t="s">
        <v>4721</v>
      </c>
      <c r="H1495" s="3178">
        <v>-2097</v>
      </c>
      <c r="I1495" s="3179">
        <v>7.79</v>
      </c>
      <c r="J1495" s="3179">
        <v>2.4500000000000002</v>
      </c>
      <c r="L1495" s="3177">
        <v>1493</v>
      </c>
      <c r="M1495" s="3175">
        <v>-10707</v>
      </c>
      <c r="N1495" s="3175" t="s">
        <v>4187</v>
      </c>
      <c r="O1495" s="3176">
        <v>26.98</v>
      </c>
      <c r="P1495" s="3176">
        <v>8.49</v>
      </c>
    </row>
    <row r="1496" spans="6:16" ht="15" thickBot="1">
      <c r="F1496" s="3177">
        <v>1494</v>
      </c>
      <c r="G1496" s="3175" t="s">
        <v>4721</v>
      </c>
      <c r="H1496" s="3178">
        <v>-2098</v>
      </c>
      <c r="I1496" s="3179">
        <v>15.69</v>
      </c>
      <c r="J1496" s="3179">
        <v>4.9400000000000004</v>
      </c>
      <c r="L1496" s="3177">
        <v>1494</v>
      </c>
      <c r="M1496" s="3175">
        <v>-10708</v>
      </c>
      <c r="N1496" s="3175" t="s">
        <v>4187</v>
      </c>
      <c r="O1496" s="3176">
        <v>26.98</v>
      </c>
      <c r="P1496" s="3176">
        <v>8.49</v>
      </c>
    </row>
    <row r="1497" spans="6:16" ht="15" thickBot="1">
      <c r="F1497" s="3177">
        <v>1495</v>
      </c>
      <c r="G1497" s="3175" t="s">
        <v>4721</v>
      </c>
      <c r="H1497" s="3178">
        <v>-2099</v>
      </c>
      <c r="I1497" s="3179">
        <v>7.88</v>
      </c>
      <c r="J1497" s="3179">
        <v>2.48</v>
      </c>
      <c r="L1497" s="3177">
        <v>1495</v>
      </c>
      <c r="M1497" s="3175">
        <v>-10709</v>
      </c>
      <c r="N1497" s="3175" t="s">
        <v>4187</v>
      </c>
      <c r="O1497" s="3176">
        <v>26.98</v>
      </c>
      <c r="P1497" s="3176">
        <v>8.49</v>
      </c>
    </row>
    <row r="1498" spans="6:16" ht="15" thickBot="1">
      <c r="F1498" s="3177">
        <v>1496</v>
      </c>
      <c r="G1498" s="3175" t="s">
        <v>4721</v>
      </c>
      <c r="H1498" s="3178">
        <v>-2100</v>
      </c>
      <c r="I1498" s="3179">
        <v>8.33</v>
      </c>
      <c r="J1498" s="3179">
        <v>2.62</v>
      </c>
      <c r="L1498" s="3177">
        <v>1496</v>
      </c>
      <c r="M1498" s="3175">
        <v>-10710</v>
      </c>
      <c r="N1498" s="3175" t="s">
        <v>4187</v>
      </c>
      <c r="O1498" s="3176">
        <v>26.98</v>
      </c>
      <c r="P1498" s="3176">
        <v>8.49</v>
      </c>
    </row>
    <row r="1499" spans="6:16" ht="15" thickBot="1">
      <c r="F1499" s="3177">
        <v>1497</v>
      </c>
      <c r="G1499" s="3175" t="s">
        <v>4721</v>
      </c>
      <c r="H1499" s="3178">
        <v>-2101</v>
      </c>
      <c r="I1499" s="3179">
        <v>8.1</v>
      </c>
      <c r="J1499" s="3179">
        <v>2.5499999999999998</v>
      </c>
      <c r="L1499" s="3177">
        <v>1497</v>
      </c>
      <c r="M1499" s="3175">
        <v>-10711</v>
      </c>
      <c r="N1499" s="3175" t="s">
        <v>4187</v>
      </c>
      <c r="O1499" s="3176">
        <v>26.98</v>
      </c>
      <c r="P1499" s="3176">
        <v>8.49</v>
      </c>
    </row>
    <row r="1500" spans="6:16" ht="15" thickBot="1">
      <c r="F1500" s="3177">
        <v>1498</v>
      </c>
      <c r="G1500" s="3175" t="s">
        <v>4721</v>
      </c>
      <c r="H1500" s="3178">
        <v>-2102</v>
      </c>
      <c r="I1500" s="3179">
        <v>8.52</v>
      </c>
      <c r="J1500" s="3179">
        <v>2.68</v>
      </c>
      <c r="L1500" s="3177">
        <v>1498</v>
      </c>
      <c r="M1500" s="3175">
        <v>-10712</v>
      </c>
      <c r="N1500" s="3175" t="s">
        <v>4187</v>
      </c>
      <c r="O1500" s="3176">
        <v>26.98</v>
      </c>
      <c r="P1500" s="3176">
        <v>8.49</v>
      </c>
    </row>
    <row r="1501" spans="6:16" ht="15" thickBot="1">
      <c r="F1501" s="3177">
        <v>1499</v>
      </c>
      <c r="G1501" s="3175" t="s">
        <v>4721</v>
      </c>
      <c r="H1501" s="3178">
        <v>-2103</v>
      </c>
      <c r="I1501" s="3179">
        <v>8.77</v>
      </c>
      <c r="J1501" s="3179">
        <v>2.76</v>
      </c>
      <c r="L1501" s="3177">
        <v>1499</v>
      </c>
      <c r="M1501" s="3175">
        <v>-10713</v>
      </c>
      <c r="N1501" s="3175" t="s">
        <v>4187</v>
      </c>
      <c r="O1501" s="3176">
        <v>26.98</v>
      </c>
      <c r="P1501" s="3176">
        <v>8.49</v>
      </c>
    </row>
    <row r="1502" spans="6:16" ht="15" thickBot="1">
      <c r="F1502" s="3177">
        <v>1500</v>
      </c>
      <c r="G1502" s="3175" t="s">
        <v>4721</v>
      </c>
      <c r="H1502" s="3178">
        <v>-2104</v>
      </c>
      <c r="I1502" s="3179">
        <v>8.64</v>
      </c>
      <c r="J1502" s="3179">
        <v>2.72</v>
      </c>
      <c r="L1502" s="3177">
        <v>1500</v>
      </c>
      <c r="M1502" s="3175">
        <v>-10714</v>
      </c>
      <c r="N1502" s="3175" t="s">
        <v>4187</v>
      </c>
      <c r="O1502" s="3176">
        <v>26.98</v>
      </c>
      <c r="P1502" s="3176">
        <v>8.49</v>
      </c>
    </row>
    <row r="1503" spans="6:16" ht="15" thickBot="1">
      <c r="F1503" s="3177">
        <v>1501</v>
      </c>
      <c r="G1503" s="3175" t="s">
        <v>4721</v>
      </c>
      <c r="H1503" s="3178">
        <v>-2105</v>
      </c>
      <c r="I1503" s="3179">
        <v>7.39</v>
      </c>
      <c r="J1503" s="3179">
        <v>2.33</v>
      </c>
      <c r="L1503" s="3177">
        <v>1501</v>
      </c>
      <c r="M1503" s="3175">
        <v>-10715</v>
      </c>
      <c r="N1503" s="3175" t="s">
        <v>4187</v>
      </c>
      <c r="O1503" s="3176">
        <v>26.98</v>
      </c>
      <c r="P1503" s="3176">
        <v>8.49</v>
      </c>
    </row>
    <row r="1504" spans="6:16" ht="15" thickBot="1">
      <c r="F1504" s="3177">
        <v>1502</v>
      </c>
      <c r="G1504" s="3175" t="s">
        <v>4721</v>
      </c>
      <c r="H1504" s="3178">
        <v>-2106</v>
      </c>
      <c r="I1504" s="3179">
        <v>7.17</v>
      </c>
      <c r="J1504" s="3179">
        <v>2.2599999999999998</v>
      </c>
      <c r="L1504" s="3177">
        <v>1502</v>
      </c>
      <c r="M1504" s="3175">
        <v>-10716</v>
      </c>
      <c r="N1504" s="3175" t="s">
        <v>4187</v>
      </c>
      <c r="O1504" s="3176">
        <v>26.98</v>
      </c>
      <c r="P1504" s="3176">
        <v>8.49</v>
      </c>
    </row>
    <row r="1505" spans="6:16" ht="15" thickBot="1">
      <c r="F1505" s="3177">
        <v>1503</v>
      </c>
      <c r="G1505" s="3175" t="s">
        <v>4721</v>
      </c>
      <c r="H1505" s="3178">
        <v>-2107</v>
      </c>
      <c r="I1505" s="3179">
        <v>7.17</v>
      </c>
      <c r="J1505" s="3179">
        <v>2.2599999999999998</v>
      </c>
      <c r="L1505" s="3177">
        <v>1503</v>
      </c>
      <c r="M1505" s="3175">
        <v>-10717</v>
      </c>
      <c r="N1505" s="3175" t="s">
        <v>4187</v>
      </c>
      <c r="O1505" s="3176">
        <v>26.98</v>
      </c>
      <c r="P1505" s="3176">
        <v>8.49</v>
      </c>
    </row>
    <row r="1506" spans="6:16" ht="15" thickBot="1">
      <c r="F1506" s="3177">
        <v>1504</v>
      </c>
      <c r="G1506" s="3175" t="s">
        <v>4721</v>
      </c>
      <c r="H1506" s="3178">
        <v>-2108</v>
      </c>
      <c r="I1506" s="3179">
        <v>7.47</v>
      </c>
      <c r="J1506" s="3179">
        <v>2.35</v>
      </c>
      <c r="L1506" s="3177">
        <v>1504</v>
      </c>
      <c r="M1506" s="3175">
        <v>-10718</v>
      </c>
      <c r="N1506" s="3175" t="s">
        <v>4187</v>
      </c>
      <c r="O1506" s="3176">
        <v>26.98</v>
      </c>
      <c r="P1506" s="3176">
        <v>8.49</v>
      </c>
    </row>
    <row r="1507" spans="6:16" ht="15" thickBot="1">
      <c r="F1507" s="3177">
        <v>1505</v>
      </c>
      <c r="G1507" s="3175" t="s">
        <v>4721</v>
      </c>
      <c r="H1507" s="3178">
        <v>-2109</v>
      </c>
      <c r="I1507" s="3179">
        <v>7.47</v>
      </c>
      <c r="J1507" s="3179">
        <v>2.35</v>
      </c>
      <c r="L1507" s="3177">
        <v>1505</v>
      </c>
      <c r="M1507" s="3175">
        <v>-10719</v>
      </c>
      <c r="N1507" s="3175" t="s">
        <v>4187</v>
      </c>
      <c r="O1507" s="3176">
        <v>26.98</v>
      </c>
      <c r="P1507" s="3176">
        <v>8.49</v>
      </c>
    </row>
    <row r="1508" spans="6:16" ht="15" thickBot="1">
      <c r="F1508" s="3177">
        <v>1506</v>
      </c>
      <c r="G1508" s="3175" t="s">
        <v>4721</v>
      </c>
      <c r="H1508" s="3178">
        <v>-2110</v>
      </c>
      <c r="I1508" s="3179">
        <v>7.17</v>
      </c>
      <c r="J1508" s="3179">
        <v>2.2599999999999998</v>
      </c>
      <c r="L1508" s="3177">
        <v>1506</v>
      </c>
      <c r="M1508" s="3175">
        <v>-10720</v>
      </c>
      <c r="N1508" s="3175" t="s">
        <v>4187</v>
      </c>
      <c r="O1508" s="3176">
        <v>26.98</v>
      </c>
      <c r="P1508" s="3176">
        <v>8.49</v>
      </c>
    </row>
    <row r="1509" spans="6:16" ht="15" thickBot="1">
      <c r="F1509" s="3177">
        <v>1507</v>
      </c>
      <c r="G1509" s="3175" t="s">
        <v>4721</v>
      </c>
      <c r="H1509" s="3178">
        <v>-2111</v>
      </c>
      <c r="I1509" s="3179">
        <v>7.17</v>
      </c>
      <c r="J1509" s="3179">
        <v>2.2599999999999998</v>
      </c>
      <c r="L1509" s="3177">
        <v>1507</v>
      </c>
      <c r="M1509" s="3175">
        <v>-10721</v>
      </c>
      <c r="N1509" s="3175" t="s">
        <v>4187</v>
      </c>
      <c r="O1509" s="3176">
        <v>26.98</v>
      </c>
      <c r="P1509" s="3176">
        <v>8.49</v>
      </c>
    </row>
    <row r="1510" spans="6:16" ht="15" thickBot="1">
      <c r="F1510" s="3177">
        <v>1508</v>
      </c>
      <c r="G1510" s="3175" t="s">
        <v>4721</v>
      </c>
      <c r="H1510" s="3178">
        <v>-2112</v>
      </c>
      <c r="I1510" s="3179">
        <v>7.39</v>
      </c>
      <c r="J1510" s="3179">
        <v>2.33</v>
      </c>
      <c r="L1510" s="3177">
        <v>1508</v>
      </c>
      <c r="M1510" s="3175">
        <v>-10722</v>
      </c>
      <c r="N1510" s="3175" t="s">
        <v>4187</v>
      </c>
      <c r="O1510" s="3176">
        <v>26.98</v>
      </c>
      <c r="P1510" s="3176">
        <v>8.49</v>
      </c>
    </row>
    <row r="1511" spans="6:16" ht="15" thickBot="1">
      <c r="F1511" s="3177">
        <v>1509</v>
      </c>
      <c r="G1511" s="3175" t="s">
        <v>4721</v>
      </c>
      <c r="H1511" s="3178">
        <v>-2113</v>
      </c>
      <c r="I1511" s="3179">
        <v>8.64</v>
      </c>
      <c r="J1511" s="3179">
        <v>2.72</v>
      </c>
      <c r="L1511" s="3177">
        <v>1509</v>
      </c>
      <c r="M1511" s="3175">
        <v>-10723</v>
      </c>
      <c r="N1511" s="3175" t="s">
        <v>4187</v>
      </c>
      <c r="O1511" s="3176">
        <v>26.98</v>
      </c>
      <c r="P1511" s="3176">
        <v>8.49</v>
      </c>
    </row>
    <row r="1512" spans="6:16" ht="15" thickBot="1">
      <c r="F1512" s="3177">
        <v>1510</v>
      </c>
      <c r="G1512" s="3175" t="s">
        <v>4721</v>
      </c>
      <c r="H1512" s="3178">
        <v>-2114</v>
      </c>
      <c r="I1512" s="3179">
        <v>8.77</v>
      </c>
      <c r="J1512" s="3179">
        <v>2.76</v>
      </c>
      <c r="L1512" s="3177">
        <v>1510</v>
      </c>
      <c r="M1512" s="3175">
        <v>-10724</v>
      </c>
      <c r="N1512" s="3175" t="s">
        <v>4187</v>
      </c>
      <c r="O1512" s="3176">
        <v>26.98</v>
      </c>
      <c r="P1512" s="3176">
        <v>8.49</v>
      </c>
    </row>
    <row r="1513" spans="6:16" ht="15" thickBot="1">
      <c r="F1513" s="3177">
        <v>1511</v>
      </c>
      <c r="G1513" s="3175" t="s">
        <v>4721</v>
      </c>
      <c r="H1513" s="3178">
        <v>-2115</v>
      </c>
      <c r="I1513" s="3179">
        <v>8.52</v>
      </c>
      <c r="J1513" s="3179">
        <v>2.68</v>
      </c>
      <c r="L1513" s="3177">
        <v>1511</v>
      </c>
      <c r="M1513" s="3175">
        <v>-10725</v>
      </c>
      <c r="N1513" s="3175" t="s">
        <v>4187</v>
      </c>
      <c r="O1513" s="3176">
        <v>26.98</v>
      </c>
      <c r="P1513" s="3176">
        <v>8.49</v>
      </c>
    </row>
    <row r="1514" spans="6:16" ht="15" thickBot="1">
      <c r="F1514" s="3177">
        <v>1512</v>
      </c>
      <c r="G1514" s="3175" t="s">
        <v>4721</v>
      </c>
      <c r="H1514" s="3178">
        <v>-2116</v>
      </c>
      <c r="I1514" s="3179">
        <v>10.64</v>
      </c>
      <c r="J1514" s="3179">
        <v>3.35</v>
      </c>
      <c r="L1514" s="3177">
        <v>1512</v>
      </c>
      <c r="M1514" s="3175">
        <v>-10726</v>
      </c>
      <c r="N1514" s="3175" t="s">
        <v>4187</v>
      </c>
      <c r="O1514" s="3176">
        <v>26.98</v>
      </c>
      <c r="P1514" s="3176">
        <v>8.49</v>
      </c>
    </row>
    <row r="1515" spans="6:16" ht="15" thickBot="1">
      <c r="F1515" s="3177">
        <v>1513</v>
      </c>
      <c r="G1515" s="3175" t="s">
        <v>4721</v>
      </c>
      <c r="H1515" s="3178">
        <v>-2117</v>
      </c>
      <c r="I1515" s="3179">
        <v>8.18</v>
      </c>
      <c r="J1515" s="3179">
        <v>2.58</v>
      </c>
      <c r="L1515" s="3177">
        <v>1513</v>
      </c>
      <c r="M1515" s="3175">
        <v>-10727</v>
      </c>
      <c r="N1515" s="3175" t="s">
        <v>4187</v>
      </c>
      <c r="O1515" s="3176">
        <v>26.98</v>
      </c>
      <c r="P1515" s="3176">
        <v>8.49</v>
      </c>
    </row>
    <row r="1516" spans="6:16" ht="15" thickBot="1">
      <c r="F1516" s="3177">
        <v>1514</v>
      </c>
      <c r="G1516" s="3175" t="s">
        <v>4721</v>
      </c>
      <c r="H1516" s="3178">
        <v>-2118</v>
      </c>
      <c r="I1516" s="3179">
        <v>7.96</v>
      </c>
      <c r="J1516" s="3179">
        <v>2.5099999999999998</v>
      </c>
      <c r="L1516" s="3177">
        <v>1514</v>
      </c>
      <c r="M1516" s="3175">
        <v>-10728</v>
      </c>
      <c r="N1516" s="3175" t="s">
        <v>4187</v>
      </c>
      <c r="O1516" s="3176">
        <v>26.98</v>
      </c>
      <c r="P1516" s="3176">
        <v>8.49</v>
      </c>
    </row>
    <row r="1517" spans="6:16" ht="15" thickBot="1">
      <c r="F1517" s="3177">
        <v>1515</v>
      </c>
      <c r="G1517" s="3175" t="s">
        <v>4721</v>
      </c>
      <c r="H1517" s="3178">
        <v>-2119</v>
      </c>
      <c r="I1517" s="3179">
        <v>6.82</v>
      </c>
      <c r="J1517" s="3179">
        <v>2.15</v>
      </c>
      <c r="L1517" s="3177">
        <v>1515</v>
      </c>
      <c r="M1517" s="3175">
        <v>-10729</v>
      </c>
      <c r="N1517" s="3175" t="s">
        <v>4187</v>
      </c>
      <c r="O1517" s="3176">
        <v>26.98</v>
      </c>
      <c r="P1517" s="3176">
        <v>8.49</v>
      </c>
    </row>
    <row r="1518" spans="6:16" ht="15" thickBot="1">
      <c r="F1518" s="3177">
        <v>1516</v>
      </c>
      <c r="G1518" s="3175" t="s">
        <v>4925</v>
      </c>
      <c r="H1518" s="3178">
        <v>-1001</v>
      </c>
      <c r="I1518" s="3179">
        <v>15.99</v>
      </c>
      <c r="J1518" s="3179">
        <v>5.03</v>
      </c>
      <c r="L1518" s="3177">
        <v>1516</v>
      </c>
      <c r="M1518" s="3175">
        <v>-10730</v>
      </c>
      <c r="N1518" s="3175" t="s">
        <v>4187</v>
      </c>
      <c r="O1518" s="3176">
        <v>26.98</v>
      </c>
      <c r="P1518" s="3176">
        <v>8.49</v>
      </c>
    </row>
    <row r="1519" spans="6:16" ht="15" thickBot="1">
      <c r="F1519" s="3177">
        <v>1517</v>
      </c>
      <c r="G1519" s="3175" t="s">
        <v>4925</v>
      </c>
      <c r="H1519" s="3178">
        <v>-1002</v>
      </c>
      <c r="I1519" s="3179">
        <v>15.74</v>
      </c>
      <c r="J1519" s="3179">
        <v>4.96</v>
      </c>
      <c r="L1519" s="3177">
        <v>1517</v>
      </c>
      <c r="M1519" s="3175">
        <v>-10731</v>
      </c>
      <c r="N1519" s="3175" t="s">
        <v>4187</v>
      </c>
      <c r="O1519" s="3176">
        <v>26.98</v>
      </c>
      <c r="P1519" s="3176">
        <v>8.49</v>
      </c>
    </row>
    <row r="1520" spans="6:16" ht="15" thickBot="1">
      <c r="F1520" s="3177">
        <v>1518</v>
      </c>
      <c r="G1520" s="3175" t="s">
        <v>4925</v>
      </c>
      <c r="H1520" s="3178">
        <v>-1003</v>
      </c>
      <c r="I1520" s="3179">
        <v>14.23</v>
      </c>
      <c r="J1520" s="3179">
        <v>4.4800000000000004</v>
      </c>
      <c r="L1520" s="3177">
        <v>1518</v>
      </c>
      <c r="M1520" s="3175">
        <v>-10732</v>
      </c>
      <c r="N1520" s="3175" t="s">
        <v>4187</v>
      </c>
      <c r="O1520" s="3176">
        <v>26.98</v>
      </c>
      <c r="P1520" s="3176">
        <v>8.49</v>
      </c>
    </row>
    <row r="1521" spans="6:16" ht="15" thickBot="1">
      <c r="F1521" s="3177">
        <v>1519</v>
      </c>
      <c r="G1521" s="3175" t="s">
        <v>4925</v>
      </c>
      <c r="H1521" s="3178">
        <v>-1004</v>
      </c>
      <c r="I1521" s="3179">
        <v>20.079999999999998</v>
      </c>
      <c r="J1521" s="3179">
        <v>6.32</v>
      </c>
      <c r="L1521" s="3177">
        <v>1519</v>
      </c>
      <c r="M1521" s="3175">
        <v>-10733</v>
      </c>
      <c r="N1521" s="3175" t="s">
        <v>4187</v>
      </c>
      <c r="O1521" s="3176">
        <v>26.98</v>
      </c>
      <c r="P1521" s="3176">
        <v>8.49</v>
      </c>
    </row>
    <row r="1522" spans="6:16" ht="15" thickBot="1">
      <c r="F1522" s="3177">
        <v>1520</v>
      </c>
      <c r="G1522" s="3175" t="s">
        <v>4925</v>
      </c>
      <c r="H1522" s="3178">
        <v>-1005</v>
      </c>
      <c r="I1522" s="3179">
        <v>9.15</v>
      </c>
      <c r="J1522" s="3179">
        <v>2.88</v>
      </c>
      <c r="L1522" s="3177">
        <v>1520</v>
      </c>
      <c r="M1522" s="3175">
        <v>-10734</v>
      </c>
      <c r="N1522" s="3175" t="s">
        <v>4187</v>
      </c>
      <c r="O1522" s="3176">
        <v>26.98</v>
      </c>
      <c r="P1522" s="3176">
        <v>8.49</v>
      </c>
    </row>
    <row r="1523" spans="6:16" ht="15" thickBot="1">
      <c r="F1523" s="3177">
        <v>1521</v>
      </c>
      <c r="G1523" s="3175" t="s">
        <v>4925</v>
      </c>
      <c r="H1523" s="3178">
        <v>-1006</v>
      </c>
      <c r="I1523" s="3179">
        <v>8.9</v>
      </c>
      <c r="J1523" s="3179">
        <v>2.8</v>
      </c>
      <c r="L1523" s="3177">
        <v>1521</v>
      </c>
      <c r="M1523" s="3175">
        <v>-10735</v>
      </c>
      <c r="N1523" s="3175" t="s">
        <v>4187</v>
      </c>
      <c r="O1523" s="3176">
        <v>26.98</v>
      </c>
      <c r="P1523" s="3176">
        <v>8.49</v>
      </c>
    </row>
    <row r="1524" spans="6:16" ht="15" thickBot="1">
      <c r="F1524" s="3177">
        <v>1522</v>
      </c>
      <c r="G1524" s="3175" t="s">
        <v>4925</v>
      </c>
      <c r="H1524" s="3178">
        <v>-1007</v>
      </c>
      <c r="I1524" s="3179">
        <v>13.89</v>
      </c>
      <c r="J1524" s="3179">
        <v>4.37</v>
      </c>
      <c r="L1524" s="3177">
        <v>1522</v>
      </c>
      <c r="M1524" s="3175">
        <v>-10736</v>
      </c>
      <c r="N1524" s="3175" t="s">
        <v>4187</v>
      </c>
      <c r="O1524" s="3176">
        <v>26.98</v>
      </c>
      <c r="P1524" s="3176">
        <v>8.49</v>
      </c>
    </row>
    <row r="1525" spans="6:16" ht="15" thickBot="1">
      <c r="F1525" s="3177">
        <v>1523</v>
      </c>
      <c r="G1525" s="3175" t="s">
        <v>4925</v>
      </c>
      <c r="H1525" s="3178">
        <v>-1008</v>
      </c>
      <c r="I1525" s="3179">
        <v>13.46</v>
      </c>
      <c r="J1525" s="3179">
        <v>4.24</v>
      </c>
      <c r="L1525" s="3177">
        <v>1523</v>
      </c>
      <c r="M1525" s="3175">
        <v>-10737</v>
      </c>
      <c r="N1525" s="3175" t="s">
        <v>4187</v>
      </c>
      <c r="O1525" s="3176">
        <v>26.98</v>
      </c>
      <c r="P1525" s="3176">
        <v>8.49</v>
      </c>
    </row>
    <row r="1526" spans="6:16" ht="15" thickBot="1">
      <c r="F1526" s="3177">
        <v>1524</v>
      </c>
      <c r="G1526" s="3175" t="s">
        <v>4925</v>
      </c>
      <c r="H1526" s="3178">
        <v>-1009</v>
      </c>
      <c r="I1526" s="3179">
        <v>13.89</v>
      </c>
      <c r="J1526" s="3179">
        <v>4.37</v>
      </c>
      <c r="L1526" s="3177">
        <v>1524</v>
      </c>
      <c r="M1526" s="3175">
        <v>-10738</v>
      </c>
      <c r="N1526" s="3175" t="s">
        <v>4187</v>
      </c>
      <c r="O1526" s="3176">
        <v>26.98</v>
      </c>
      <c r="P1526" s="3176">
        <v>8.49</v>
      </c>
    </row>
    <row r="1527" spans="6:16" ht="15" thickBot="1">
      <c r="F1527" s="3177">
        <v>1525</v>
      </c>
      <c r="G1527" s="3175" t="s">
        <v>4925</v>
      </c>
      <c r="H1527" s="3178">
        <v>-1010</v>
      </c>
      <c r="I1527" s="3179">
        <v>13.89</v>
      </c>
      <c r="J1527" s="3179">
        <v>4.37</v>
      </c>
      <c r="L1527" s="3177">
        <v>1525</v>
      </c>
      <c r="M1527" s="3175">
        <v>-10739</v>
      </c>
      <c r="N1527" s="3175" t="s">
        <v>4187</v>
      </c>
      <c r="O1527" s="3176">
        <v>26.98</v>
      </c>
      <c r="P1527" s="3176">
        <v>8.49</v>
      </c>
    </row>
    <row r="1528" spans="6:16" ht="15" thickBot="1">
      <c r="F1528" s="3177">
        <v>1526</v>
      </c>
      <c r="G1528" s="3175" t="s">
        <v>4925</v>
      </c>
      <c r="H1528" s="3178">
        <v>-1011</v>
      </c>
      <c r="I1528" s="3179">
        <v>13.89</v>
      </c>
      <c r="J1528" s="3179">
        <v>4.37</v>
      </c>
      <c r="L1528" s="3177">
        <v>1526</v>
      </c>
      <c r="M1528" s="3175">
        <v>-10740</v>
      </c>
      <c r="N1528" s="3175" t="s">
        <v>4187</v>
      </c>
      <c r="O1528" s="3176">
        <v>26.98</v>
      </c>
      <c r="P1528" s="3176">
        <v>8.49</v>
      </c>
    </row>
    <row r="1529" spans="6:16" ht="15" thickBot="1">
      <c r="F1529" s="3177">
        <v>1527</v>
      </c>
      <c r="G1529" s="3175" t="s">
        <v>4925</v>
      </c>
      <c r="H1529" s="3178">
        <v>-1012</v>
      </c>
      <c r="I1529" s="3179">
        <v>7.63</v>
      </c>
      <c r="J1529" s="3179">
        <v>2.4</v>
      </c>
      <c r="L1529" s="3177">
        <v>1527</v>
      </c>
      <c r="M1529" s="3175">
        <v>-10741</v>
      </c>
      <c r="N1529" s="3175" t="s">
        <v>4187</v>
      </c>
      <c r="O1529" s="3176">
        <v>26.98</v>
      </c>
      <c r="P1529" s="3176">
        <v>8.49</v>
      </c>
    </row>
    <row r="1530" spans="6:16" ht="15" thickBot="1">
      <c r="F1530" s="3177">
        <v>1528</v>
      </c>
      <c r="G1530" s="3175" t="s">
        <v>4925</v>
      </c>
      <c r="H1530" s="3178">
        <v>-1013</v>
      </c>
      <c r="I1530" s="3179">
        <v>7.84</v>
      </c>
      <c r="J1530" s="3179">
        <v>2.4700000000000002</v>
      </c>
      <c r="L1530" s="3177">
        <v>1528</v>
      </c>
      <c r="M1530" s="3175">
        <v>-10742</v>
      </c>
      <c r="N1530" s="3175" t="s">
        <v>4187</v>
      </c>
      <c r="O1530" s="3176">
        <v>26.98</v>
      </c>
      <c r="P1530" s="3176">
        <v>8.49</v>
      </c>
    </row>
    <row r="1531" spans="6:16" ht="15" thickBot="1">
      <c r="F1531" s="3177">
        <v>1529</v>
      </c>
      <c r="G1531" s="3175" t="s">
        <v>4925</v>
      </c>
      <c r="H1531" s="3178">
        <v>-1014</v>
      </c>
      <c r="I1531" s="3179">
        <v>11.72</v>
      </c>
      <c r="J1531" s="3179">
        <v>3.69</v>
      </c>
      <c r="L1531" s="3177">
        <v>1529</v>
      </c>
      <c r="M1531" s="3175">
        <v>-10743</v>
      </c>
      <c r="N1531" s="3175" t="s">
        <v>4187</v>
      </c>
      <c r="O1531" s="3176">
        <v>26.98</v>
      </c>
      <c r="P1531" s="3176">
        <v>8.49</v>
      </c>
    </row>
    <row r="1532" spans="6:16" ht="15" thickBot="1">
      <c r="F1532" s="3177">
        <v>1530</v>
      </c>
      <c r="G1532" s="3175" t="s">
        <v>4925</v>
      </c>
      <c r="H1532" s="3178">
        <v>-1015</v>
      </c>
      <c r="I1532" s="3179">
        <v>14.41</v>
      </c>
      <c r="J1532" s="3179">
        <v>4.54</v>
      </c>
      <c r="L1532" s="3177">
        <v>1530</v>
      </c>
      <c r="M1532" s="3175">
        <v>-10744</v>
      </c>
      <c r="N1532" s="3175" t="s">
        <v>4187</v>
      </c>
      <c r="O1532" s="3176">
        <v>26.98</v>
      </c>
      <c r="P1532" s="3176">
        <v>8.49</v>
      </c>
    </row>
    <row r="1533" spans="6:16" ht="15" thickBot="1">
      <c r="F1533" s="3177">
        <v>1531</v>
      </c>
      <c r="G1533" s="3175" t="s">
        <v>4925</v>
      </c>
      <c r="H1533" s="3178">
        <v>-1016</v>
      </c>
      <c r="I1533" s="3179">
        <v>15.79</v>
      </c>
      <c r="J1533" s="3179">
        <v>4.97</v>
      </c>
      <c r="L1533" s="3177">
        <v>1531</v>
      </c>
      <c r="M1533" s="3175">
        <v>-10745</v>
      </c>
      <c r="N1533" s="3175" t="s">
        <v>4187</v>
      </c>
      <c r="O1533" s="3176">
        <v>26.98</v>
      </c>
      <c r="P1533" s="3176">
        <v>8.49</v>
      </c>
    </row>
    <row r="1534" spans="6:16" ht="15" thickBot="1">
      <c r="F1534" s="3177">
        <v>1532</v>
      </c>
      <c r="G1534" s="3175" t="s">
        <v>4925</v>
      </c>
      <c r="H1534" s="3178">
        <v>-1017</v>
      </c>
      <c r="I1534" s="3179">
        <v>8.7899999999999991</v>
      </c>
      <c r="J1534" s="3179">
        <v>2.77</v>
      </c>
      <c r="L1534" s="3177">
        <v>1532</v>
      </c>
      <c r="M1534" s="3175">
        <v>-10746</v>
      </c>
      <c r="N1534" s="3175" t="s">
        <v>4187</v>
      </c>
      <c r="O1534" s="3176">
        <v>26.98</v>
      </c>
      <c r="P1534" s="3176">
        <v>8.49</v>
      </c>
    </row>
    <row r="1535" spans="6:16" ht="15" thickBot="1">
      <c r="F1535" s="3177">
        <v>1533</v>
      </c>
      <c r="G1535" s="3175" t="s">
        <v>4925</v>
      </c>
      <c r="H1535" s="3178">
        <v>-1018</v>
      </c>
      <c r="I1535" s="3179">
        <v>8.7899999999999991</v>
      </c>
      <c r="J1535" s="3179">
        <v>2.77</v>
      </c>
      <c r="L1535" s="3177">
        <v>1533</v>
      </c>
      <c r="M1535" s="3175">
        <v>-10747</v>
      </c>
      <c r="N1535" s="3175" t="s">
        <v>4187</v>
      </c>
      <c r="O1535" s="3176">
        <v>26.98</v>
      </c>
      <c r="P1535" s="3176">
        <v>8.49</v>
      </c>
    </row>
    <row r="1536" spans="6:16" ht="15" thickBot="1">
      <c r="F1536" s="3177">
        <v>1534</v>
      </c>
      <c r="G1536" s="3175" t="s">
        <v>4925</v>
      </c>
      <c r="H1536" s="3178">
        <v>-1019</v>
      </c>
      <c r="I1536" s="3179">
        <v>8.7899999999999991</v>
      </c>
      <c r="J1536" s="3179">
        <v>2.77</v>
      </c>
      <c r="L1536" s="3177">
        <v>1534</v>
      </c>
      <c r="M1536" s="3175">
        <v>-10748</v>
      </c>
      <c r="N1536" s="3175" t="s">
        <v>4187</v>
      </c>
      <c r="O1536" s="3176">
        <v>26.98</v>
      </c>
      <c r="P1536" s="3176">
        <v>8.49</v>
      </c>
    </row>
    <row r="1537" spans="6:16" ht="15" thickBot="1">
      <c r="F1537" s="3177">
        <v>1535</v>
      </c>
      <c r="G1537" s="3175" t="s">
        <v>4925</v>
      </c>
      <c r="H1537" s="3178">
        <v>-1020</v>
      </c>
      <c r="I1537" s="3179">
        <v>8.7899999999999991</v>
      </c>
      <c r="J1537" s="3179">
        <v>2.77</v>
      </c>
      <c r="L1537" s="3177">
        <v>1535</v>
      </c>
      <c r="M1537" s="3175">
        <v>-10749</v>
      </c>
      <c r="N1537" s="3175" t="s">
        <v>4187</v>
      </c>
      <c r="O1537" s="3176">
        <v>26.98</v>
      </c>
      <c r="P1537" s="3176">
        <v>8.49</v>
      </c>
    </row>
    <row r="1538" spans="6:16" ht="15" thickBot="1">
      <c r="F1538" s="3177">
        <v>1536</v>
      </c>
      <c r="G1538" s="3175" t="s">
        <v>4925</v>
      </c>
      <c r="H1538" s="3178">
        <v>-1021</v>
      </c>
      <c r="I1538" s="3179">
        <v>12.63</v>
      </c>
      <c r="J1538" s="3179">
        <v>3.98</v>
      </c>
      <c r="L1538" s="3177">
        <v>1536</v>
      </c>
      <c r="M1538" s="3175">
        <v>-10750</v>
      </c>
      <c r="N1538" s="3175" t="s">
        <v>4187</v>
      </c>
      <c r="O1538" s="3176">
        <v>26.98</v>
      </c>
      <c r="P1538" s="3176">
        <v>8.49</v>
      </c>
    </row>
    <row r="1539" spans="6:16" ht="15" thickBot="1">
      <c r="F1539" s="3177">
        <v>1537</v>
      </c>
      <c r="G1539" s="3175" t="s">
        <v>4925</v>
      </c>
      <c r="H1539" s="3178">
        <v>-1022</v>
      </c>
      <c r="I1539" s="3179">
        <v>12.4</v>
      </c>
      <c r="J1539" s="3179">
        <v>3.9</v>
      </c>
      <c r="L1539" s="3177">
        <v>1537</v>
      </c>
      <c r="M1539" s="3175">
        <v>-10751</v>
      </c>
      <c r="N1539" s="3175" t="s">
        <v>4187</v>
      </c>
      <c r="O1539" s="3176">
        <v>26.98</v>
      </c>
      <c r="P1539" s="3176">
        <v>8.49</v>
      </c>
    </row>
    <row r="1540" spans="6:16" ht="15" thickBot="1">
      <c r="F1540" s="3177">
        <v>1538</v>
      </c>
      <c r="G1540" s="3175" t="s">
        <v>4925</v>
      </c>
      <c r="H1540" s="3178">
        <v>-1023</v>
      </c>
      <c r="I1540" s="3179">
        <v>14.27</v>
      </c>
      <c r="J1540" s="3179">
        <v>4.49</v>
      </c>
      <c r="L1540" s="3177">
        <v>1538</v>
      </c>
      <c r="M1540" s="3175">
        <v>-10752</v>
      </c>
      <c r="N1540" s="3175" t="s">
        <v>4187</v>
      </c>
      <c r="O1540" s="3176">
        <v>26.98</v>
      </c>
      <c r="P1540" s="3176">
        <v>8.49</v>
      </c>
    </row>
    <row r="1541" spans="6:16" ht="15" thickBot="1">
      <c r="F1541" s="3177">
        <v>1539</v>
      </c>
      <c r="G1541" s="3175" t="s">
        <v>4925</v>
      </c>
      <c r="H1541" s="3178">
        <v>-1024</v>
      </c>
      <c r="I1541" s="3179">
        <v>10.68</v>
      </c>
      <c r="J1541" s="3179">
        <v>3.36</v>
      </c>
      <c r="L1541" s="3177">
        <v>1539</v>
      </c>
      <c r="M1541" s="3175">
        <v>-10753</v>
      </c>
      <c r="N1541" s="3175" t="s">
        <v>4187</v>
      </c>
      <c r="O1541" s="3176">
        <v>26.98</v>
      </c>
      <c r="P1541" s="3176">
        <v>8.49</v>
      </c>
    </row>
    <row r="1542" spans="6:16" ht="15" thickBot="1">
      <c r="F1542" s="3177">
        <v>1540</v>
      </c>
      <c r="G1542" s="3175" t="s">
        <v>4925</v>
      </c>
      <c r="H1542" s="3178">
        <v>-1025</v>
      </c>
      <c r="I1542" s="3179">
        <v>10.37</v>
      </c>
      <c r="J1542" s="3179">
        <v>3.26</v>
      </c>
      <c r="L1542" s="3177">
        <v>1540</v>
      </c>
      <c r="M1542" s="3175">
        <v>-10754</v>
      </c>
      <c r="N1542" s="3175" t="s">
        <v>4187</v>
      </c>
      <c r="O1542" s="3176">
        <v>26.98</v>
      </c>
      <c r="P1542" s="3176">
        <v>8.49</v>
      </c>
    </row>
    <row r="1543" spans="6:16" ht="15" thickBot="1">
      <c r="F1543" s="3177">
        <v>1541</v>
      </c>
      <c r="G1543" s="3175" t="s">
        <v>4925</v>
      </c>
      <c r="H1543" s="3178">
        <v>-1026</v>
      </c>
      <c r="I1543" s="3179">
        <v>10.98</v>
      </c>
      <c r="J1543" s="3179">
        <v>3.46</v>
      </c>
      <c r="L1543" s="3177">
        <v>1541</v>
      </c>
      <c r="M1543" s="3175">
        <v>-10755</v>
      </c>
      <c r="N1543" s="3175" t="s">
        <v>4187</v>
      </c>
      <c r="O1543" s="3176">
        <v>26.98</v>
      </c>
      <c r="P1543" s="3176">
        <v>8.49</v>
      </c>
    </row>
    <row r="1544" spans="6:16" ht="15" thickBot="1">
      <c r="F1544" s="3283" t="s">
        <v>4924</v>
      </c>
      <c r="G1544" s="3284"/>
      <c r="H1544" s="3285"/>
      <c r="I1544" s="3181">
        <v>15739.37</v>
      </c>
      <c r="J1544" s="3181">
        <v>4955.53</v>
      </c>
      <c r="L1544" s="3177">
        <v>1542</v>
      </c>
      <c r="M1544" s="3175">
        <v>-10756</v>
      </c>
      <c r="N1544" s="3175" t="s">
        <v>4187</v>
      </c>
      <c r="O1544" s="3176">
        <v>26.98</v>
      </c>
      <c r="P1544" s="3176">
        <v>8.49</v>
      </c>
    </row>
    <row r="1545" spans="6:16" ht="14.25" thickBot="1">
      <c r="L1545" s="3177">
        <v>1543</v>
      </c>
      <c r="M1545" s="3175">
        <v>-10757</v>
      </c>
      <c r="N1545" s="3175" t="s">
        <v>4187</v>
      </c>
      <c r="O1545" s="3176">
        <v>26.98</v>
      </c>
      <c r="P1545" s="3176">
        <v>8.49</v>
      </c>
    </row>
    <row r="1546" spans="6:16" ht="14.25" thickBot="1">
      <c r="L1546" s="3177">
        <v>1544</v>
      </c>
      <c r="M1546" s="3175">
        <v>-10758</v>
      </c>
      <c r="N1546" s="3175" t="s">
        <v>4187</v>
      </c>
      <c r="O1546" s="3176">
        <v>26.98</v>
      </c>
      <c r="P1546" s="3176">
        <v>8.49</v>
      </c>
    </row>
    <row r="1547" spans="6:16" ht="14.25" thickBot="1">
      <c r="L1547" s="3177">
        <v>1545</v>
      </c>
      <c r="M1547" s="3175">
        <v>-10759</v>
      </c>
      <c r="N1547" s="3175" t="s">
        <v>4187</v>
      </c>
      <c r="O1547" s="3176">
        <v>26.98</v>
      </c>
      <c r="P1547" s="3176">
        <v>8.49</v>
      </c>
    </row>
    <row r="1548" spans="6:16" ht="14.25" thickBot="1">
      <c r="L1548" s="3177">
        <v>1546</v>
      </c>
      <c r="M1548" s="3175">
        <v>-10760</v>
      </c>
      <c r="N1548" s="3175" t="s">
        <v>4187</v>
      </c>
      <c r="O1548" s="3176">
        <v>26.98</v>
      </c>
      <c r="P1548" s="3176">
        <v>8.49</v>
      </c>
    </row>
    <row r="1549" spans="6:16" ht="14.25" thickBot="1">
      <c r="L1549" s="3177">
        <v>1547</v>
      </c>
      <c r="M1549" s="3175">
        <v>-10761</v>
      </c>
      <c r="N1549" s="3175" t="s">
        <v>4187</v>
      </c>
      <c r="O1549" s="3176">
        <v>26.98</v>
      </c>
      <c r="P1549" s="3176">
        <v>8.49</v>
      </c>
    </row>
    <row r="1550" spans="6:16" ht="14.25" thickBot="1">
      <c r="L1550" s="3177">
        <v>1548</v>
      </c>
      <c r="M1550" s="3175">
        <v>-10762</v>
      </c>
      <c r="N1550" s="3175" t="s">
        <v>4187</v>
      </c>
      <c r="O1550" s="3176">
        <v>26.98</v>
      </c>
      <c r="P1550" s="3176">
        <v>8.49</v>
      </c>
    </row>
    <row r="1551" spans="6:16" ht="14.25" thickBot="1">
      <c r="L1551" s="3177">
        <v>1549</v>
      </c>
      <c r="M1551" s="3175">
        <v>-10763</v>
      </c>
      <c r="N1551" s="3175" t="s">
        <v>4187</v>
      </c>
      <c r="O1551" s="3176">
        <v>26.98</v>
      </c>
      <c r="P1551" s="3176">
        <v>8.49</v>
      </c>
    </row>
    <row r="1552" spans="6:16" ht="14.25" thickBot="1">
      <c r="L1552" s="3177">
        <v>1550</v>
      </c>
      <c r="M1552" s="3175">
        <v>-10764</v>
      </c>
      <c r="N1552" s="3175" t="s">
        <v>4187</v>
      </c>
      <c r="O1552" s="3176">
        <v>26.98</v>
      </c>
      <c r="P1552" s="3176">
        <v>8.49</v>
      </c>
    </row>
    <row r="1553" spans="12:16" ht="14.25" thickBot="1">
      <c r="L1553" s="3177">
        <v>1551</v>
      </c>
      <c r="M1553" s="3175">
        <v>-10765</v>
      </c>
      <c r="N1553" s="3175" t="s">
        <v>4187</v>
      </c>
      <c r="O1553" s="3176">
        <v>26.98</v>
      </c>
      <c r="P1553" s="3176">
        <v>8.49</v>
      </c>
    </row>
    <row r="1554" spans="12:16" ht="14.25" thickBot="1">
      <c r="L1554" s="3177">
        <v>1552</v>
      </c>
      <c r="M1554" s="3175">
        <v>-10766</v>
      </c>
      <c r="N1554" s="3175" t="s">
        <v>4187</v>
      </c>
      <c r="O1554" s="3176">
        <v>26.98</v>
      </c>
      <c r="P1554" s="3176">
        <v>8.49</v>
      </c>
    </row>
    <row r="1555" spans="12:16" ht="14.25" thickBot="1">
      <c r="L1555" s="3177">
        <v>1553</v>
      </c>
      <c r="M1555" s="3175">
        <v>-10767</v>
      </c>
      <c r="N1555" s="3175" t="s">
        <v>4187</v>
      </c>
      <c r="O1555" s="3176">
        <v>26.98</v>
      </c>
      <c r="P1555" s="3176">
        <v>8.49</v>
      </c>
    </row>
    <row r="1556" spans="12:16" ht="14.25" thickBot="1">
      <c r="L1556" s="3177">
        <v>1554</v>
      </c>
      <c r="M1556" s="3175">
        <v>-10768</v>
      </c>
      <c r="N1556" s="3175" t="s">
        <v>4187</v>
      </c>
      <c r="O1556" s="3176">
        <v>26.98</v>
      </c>
      <c r="P1556" s="3176">
        <v>8.49</v>
      </c>
    </row>
    <row r="1557" spans="12:16" ht="14.25" thickBot="1">
      <c r="L1557" s="3177">
        <v>1555</v>
      </c>
      <c r="M1557" s="3175">
        <v>-10769</v>
      </c>
      <c r="N1557" s="3175" t="s">
        <v>4187</v>
      </c>
      <c r="O1557" s="3176">
        <v>26.98</v>
      </c>
      <c r="P1557" s="3176">
        <v>8.49</v>
      </c>
    </row>
    <row r="1558" spans="12:16" ht="14.25" thickBot="1">
      <c r="L1558" s="3177">
        <v>1556</v>
      </c>
      <c r="M1558" s="3175">
        <v>-10770</v>
      </c>
      <c r="N1558" s="3175" t="s">
        <v>4187</v>
      </c>
      <c r="O1558" s="3176">
        <v>26.98</v>
      </c>
      <c r="P1558" s="3176">
        <v>8.49</v>
      </c>
    </row>
    <row r="1559" spans="12:16" ht="14.25" thickBot="1">
      <c r="L1559" s="3177">
        <v>1557</v>
      </c>
      <c r="M1559" s="3175">
        <v>-10771</v>
      </c>
      <c r="N1559" s="3175" t="s">
        <v>4187</v>
      </c>
      <c r="O1559" s="3176">
        <v>26.98</v>
      </c>
      <c r="P1559" s="3176">
        <v>8.49</v>
      </c>
    </row>
    <row r="1560" spans="12:16" ht="14.25" thickBot="1">
      <c r="L1560" s="3177">
        <v>1558</v>
      </c>
      <c r="M1560" s="3175">
        <v>-10772</v>
      </c>
      <c r="N1560" s="3175" t="s">
        <v>4187</v>
      </c>
      <c r="O1560" s="3176">
        <v>26.98</v>
      </c>
      <c r="P1560" s="3176">
        <v>8.49</v>
      </c>
    </row>
    <row r="1561" spans="12:16" ht="14.25" thickBot="1">
      <c r="L1561" s="3177">
        <v>1559</v>
      </c>
      <c r="M1561" s="3175">
        <v>-10773</v>
      </c>
      <c r="N1561" s="3175" t="s">
        <v>4187</v>
      </c>
      <c r="O1561" s="3176">
        <v>26.98</v>
      </c>
      <c r="P1561" s="3176">
        <v>8.49</v>
      </c>
    </row>
    <row r="1562" spans="12:16" ht="14.25" thickBot="1">
      <c r="L1562" s="3177">
        <v>1560</v>
      </c>
      <c r="M1562" s="3175">
        <v>-10774</v>
      </c>
      <c r="N1562" s="3175" t="s">
        <v>4187</v>
      </c>
      <c r="O1562" s="3176">
        <v>26.98</v>
      </c>
      <c r="P1562" s="3176">
        <v>8.49</v>
      </c>
    </row>
    <row r="1563" spans="12:16" ht="14.25" thickBot="1">
      <c r="L1563" s="3177">
        <v>1561</v>
      </c>
      <c r="M1563" s="3175">
        <v>-10775</v>
      </c>
      <c r="N1563" s="3175" t="s">
        <v>4187</v>
      </c>
      <c r="O1563" s="3176">
        <v>26.98</v>
      </c>
      <c r="P1563" s="3176">
        <v>8.49</v>
      </c>
    </row>
    <row r="1564" spans="12:16" ht="14.25" thickBot="1">
      <c r="L1564" s="3177">
        <v>1562</v>
      </c>
      <c r="M1564" s="3175">
        <v>-10776</v>
      </c>
      <c r="N1564" s="3175" t="s">
        <v>4187</v>
      </c>
      <c r="O1564" s="3176">
        <v>26.98</v>
      </c>
      <c r="P1564" s="3176">
        <v>8.49</v>
      </c>
    </row>
    <row r="1565" spans="12:16" ht="14.25" thickBot="1">
      <c r="L1565" s="3177">
        <v>1563</v>
      </c>
      <c r="M1565" s="3175">
        <v>-10777</v>
      </c>
      <c r="N1565" s="3175" t="s">
        <v>4187</v>
      </c>
      <c r="O1565" s="3176">
        <v>26.98</v>
      </c>
      <c r="P1565" s="3176">
        <v>8.49</v>
      </c>
    </row>
    <row r="1566" spans="12:16" ht="14.25" thickBot="1">
      <c r="L1566" s="3177">
        <v>1564</v>
      </c>
      <c r="M1566" s="3175">
        <v>-10778</v>
      </c>
      <c r="N1566" s="3175" t="s">
        <v>4187</v>
      </c>
      <c r="O1566" s="3176">
        <v>26.98</v>
      </c>
      <c r="P1566" s="3176">
        <v>8.49</v>
      </c>
    </row>
    <row r="1567" spans="12:16" ht="14.25" thickBot="1">
      <c r="L1567" s="3177">
        <v>1565</v>
      </c>
      <c r="M1567" s="3175">
        <v>-10779</v>
      </c>
      <c r="N1567" s="3175" t="s">
        <v>4187</v>
      </c>
      <c r="O1567" s="3176">
        <v>26.98</v>
      </c>
      <c r="P1567" s="3176">
        <v>8.49</v>
      </c>
    </row>
    <row r="1568" spans="12:16" ht="14.25" thickBot="1">
      <c r="L1568" s="3177">
        <v>1566</v>
      </c>
      <c r="M1568" s="3175">
        <v>-10780</v>
      </c>
      <c r="N1568" s="3175" t="s">
        <v>4187</v>
      </c>
      <c r="O1568" s="3176">
        <v>26.98</v>
      </c>
      <c r="P1568" s="3176">
        <v>8.49</v>
      </c>
    </row>
    <row r="1569" spans="12:16" ht="14.25" thickBot="1">
      <c r="L1569" s="3177">
        <v>1567</v>
      </c>
      <c r="M1569" s="3175">
        <v>-10781</v>
      </c>
      <c r="N1569" s="3175" t="s">
        <v>4187</v>
      </c>
      <c r="O1569" s="3176">
        <v>26.98</v>
      </c>
      <c r="P1569" s="3176">
        <v>8.49</v>
      </c>
    </row>
    <row r="1570" spans="12:16" ht="14.25" thickBot="1">
      <c r="L1570" s="3286" t="s">
        <v>4924</v>
      </c>
      <c r="M1570" s="3287"/>
      <c r="N1570" s="3282"/>
      <c r="O1570" s="3182">
        <v>39646.74</v>
      </c>
      <c r="P1570" s="3182">
        <v>12481.26</v>
      </c>
    </row>
    <row r="1571" spans="12:16" ht="14.25" thickBot="1">
      <c r="L1571" s="3286" t="s">
        <v>4926</v>
      </c>
      <c r="M1571" s="3287"/>
      <c r="N1571" s="3282"/>
      <c r="O1571" s="3182">
        <v>195888.83</v>
      </c>
      <c r="P1571" s="3182">
        <v>61673.46</v>
      </c>
    </row>
    <row r="1572" spans="12:16" ht="14.25">
      <c r="L1572" s="3288" t="s">
        <v>4927</v>
      </c>
      <c r="M1572" s="3289"/>
      <c r="N1572" s="3289"/>
      <c r="O1572" s="3289"/>
      <c r="P1572" s="3290"/>
    </row>
    <row r="1573" spans="12:16" ht="15" thickBot="1">
      <c r="L1573" s="3291" t="s">
        <v>4928</v>
      </c>
      <c r="M1573" s="3292"/>
      <c r="N1573" s="3292"/>
      <c r="O1573" s="3292"/>
      <c r="P1573" s="3293"/>
    </row>
  </sheetData>
  <mergeCells count="12">
    <mergeCell ref="L1571:N1571"/>
    <mergeCell ref="L1572:P1572"/>
    <mergeCell ref="L1573:P1573"/>
    <mergeCell ref="R11:T11"/>
    <mergeCell ref="R12:V12"/>
    <mergeCell ref="R13:V13"/>
    <mergeCell ref="L1570:N1570"/>
    <mergeCell ref="A1:D1"/>
    <mergeCell ref="F1:J1"/>
    <mergeCell ref="L1:P1"/>
    <mergeCell ref="A1483:B1483"/>
    <mergeCell ref="F1544:H154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23" sqref="E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3" t="s">
        <v>1131</v>
      </c>
      <c r="B2" s="3303"/>
      <c r="C2" s="3303"/>
      <c r="D2" s="748" t="s">
        <v>1107</v>
      </c>
      <c r="E2" s="1523" t="s">
        <v>1108</v>
      </c>
      <c r="F2" s="2439"/>
      <c r="G2" s="2432"/>
      <c r="H2" s="2433"/>
      <c r="I2" s="2146" t="s">
        <v>1132</v>
      </c>
      <c r="J2" s="2439"/>
      <c r="K2" s="2439"/>
      <c r="L2" s="2439"/>
      <c r="M2" s="2439"/>
      <c r="N2" s="2440"/>
      <c r="O2" s="2439"/>
      <c r="P2" s="2439"/>
    </row>
    <row r="3" spans="1:16" ht="15.75" thickBot="1">
      <c r="A3" s="3304" t="s">
        <v>1105</v>
      </c>
      <c r="B3" s="3304"/>
      <c r="C3" s="3304"/>
      <c r="D3" s="41">
        <f>'数据-基础表'!AY6</f>
        <v>61673.46</v>
      </c>
      <c r="E3" s="41">
        <f>'数据-基础表'!AZ5</f>
        <v>195888.83</v>
      </c>
      <c r="F3" s="2439"/>
      <c r="G3" s="42"/>
      <c r="H3" s="43" t="s">
        <v>1106</v>
      </c>
      <c r="I3" s="802">
        <f>ROUND('数据-基础表'!B3/'数据-基础表'!A3,2)</f>
        <v>3.18</v>
      </c>
      <c r="J3" s="2439"/>
      <c r="K3" s="2439"/>
      <c r="L3" s="2439"/>
      <c r="M3" s="2439"/>
      <c r="N3" s="2440"/>
      <c r="O3" s="2439"/>
      <c r="P3" s="2439"/>
    </row>
    <row r="4" spans="1:16" ht="15">
      <c r="A4" s="3305"/>
      <c r="B4" s="3306"/>
      <c r="C4" s="3307"/>
      <c r="D4" s="1524" t="s">
        <v>1107</v>
      </c>
      <c r="E4" s="1525" t="s">
        <v>1108</v>
      </c>
      <c r="F4" s="2439"/>
      <c r="G4" s="2434" t="s">
        <v>1133</v>
      </c>
      <c r="H4" s="43" t="s">
        <v>1113</v>
      </c>
      <c r="I4" s="802">
        <f>ROUND(SUMIF('数据-基础表'!I9:AS9,"地上",'数据-基础表'!I5:AS5)/'数据-基础表'!A3,2)</f>
        <v>2.2799999999999998</v>
      </c>
      <c r="J4" s="2439"/>
      <c r="K4" s="2439"/>
      <c r="L4" s="2439"/>
      <c r="M4" s="2439"/>
      <c r="N4" s="2440"/>
      <c r="O4" s="2439"/>
      <c r="P4" s="2439"/>
    </row>
    <row r="5" spans="1:16">
      <c r="A5" s="42" t="s">
        <v>1109</v>
      </c>
      <c r="B5" s="3308" t="s">
        <v>1110</v>
      </c>
      <c r="C5" s="3308"/>
      <c r="D5" s="43">
        <f>ROUND($D$3*E5/$E$3,2)</f>
        <v>44235.75</v>
      </c>
      <c r="E5" s="44">
        <f>SUMIF('数据-基础表'!$11:$11,"住宅",'数据-基础表'!$5:$5)</f>
        <v>140502.72</v>
      </c>
      <c r="F5" s="2439"/>
      <c r="G5" s="42"/>
      <c r="H5" s="43" t="s">
        <v>1106</v>
      </c>
      <c r="I5" s="802">
        <f>ROUND(E31/D31,2)</f>
        <v>3.18</v>
      </c>
      <c r="J5" s="2439"/>
      <c r="K5" s="2439"/>
      <c r="L5" s="2439"/>
      <c r="M5" s="2439"/>
      <c r="N5" s="2439"/>
      <c r="O5" s="2439"/>
      <c r="P5" s="2439"/>
    </row>
    <row r="6" spans="1:16" ht="15" thickBot="1">
      <c r="A6" s="1527"/>
      <c r="B6" s="3308" t="s">
        <v>1111</v>
      </c>
      <c r="C6" s="3308"/>
      <c r="D6" s="43">
        <f>ROUND($D$3*E6/$E$3,2)</f>
        <v>17437.71</v>
      </c>
      <c r="E6" s="44">
        <f>E3-E5</f>
        <v>55386.109999999986</v>
      </c>
      <c r="F6" s="2439"/>
      <c r="G6" s="1529" t="s">
        <v>1112</v>
      </c>
      <c r="H6" s="45" t="s">
        <v>1113</v>
      </c>
      <c r="I6" s="2435">
        <f>ROUND(F31/D31,2)</f>
        <v>2.2799999999999998</v>
      </c>
      <c r="J6" s="2439"/>
      <c r="K6" s="2439"/>
      <c r="L6" s="2439"/>
      <c r="M6" s="2439"/>
      <c r="N6" s="2439"/>
      <c r="O6" s="2439"/>
      <c r="P6" s="2439"/>
    </row>
    <row r="7" spans="1:16" ht="15.75" thickBot="1">
      <c r="A7" s="3300"/>
      <c r="B7" s="3301"/>
      <c r="C7" s="330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44235.75</v>
      </c>
      <c r="E8" s="46">
        <f>SUMIF('数据-基础表'!BB10:BK10,"地上",'数据-基础表'!BB5:BK5)</f>
        <v>140502.72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4955.37</v>
      </c>
      <c r="E12" s="46">
        <f>SUMPRODUCT(('数据-基础表'!BB10:BK10="地下")*('数据-基础表'!BB11:BK11="仓储")*('数据-基础表'!BB5:BK5))</f>
        <v>15739.37</v>
      </c>
      <c r="F12" s="2439"/>
      <c r="G12" s="2439"/>
      <c r="H12" s="2439"/>
      <c r="I12" s="2439"/>
      <c r="J12" s="2439"/>
      <c r="K12" s="2439"/>
      <c r="L12" s="2439"/>
      <c r="M12" s="2439"/>
      <c r="N12" s="2439"/>
      <c r="O12" s="2439"/>
      <c r="P12" s="2439"/>
    </row>
    <row r="13" spans="1:16">
      <c r="A13" s="1529"/>
      <c r="B13" s="1530"/>
      <c r="C13" s="43" t="s">
        <v>1122</v>
      </c>
      <c r="D13" s="43">
        <f t="shared" si="0"/>
        <v>12482.34</v>
      </c>
      <c r="E13" s="46">
        <f>SUMPRODUCT(('数据-基础表'!BB10:BK10="地下")*('数据-基础表'!BB11:BK11="车库")*('数据-基础表'!BB5:BK5))</f>
        <v>39646.74</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61673.460000000006</v>
      </c>
      <c r="E16" s="48">
        <f>SUM(E8:E15)</f>
        <v>195888.83</v>
      </c>
      <c r="F16" s="2439"/>
      <c r="G16" s="2439"/>
      <c r="H16" s="1531" t="s">
        <v>1135</v>
      </c>
      <c r="I16" s="1532"/>
      <c r="J16" s="1071"/>
      <c r="K16" s="3297" t="s">
        <v>1135</v>
      </c>
      <c r="L16" s="3298"/>
      <c r="M16" s="3298"/>
      <c r="N16" s="3298"/>
      <c r="O16" s="3298"/>
      <c r="P16" s="3299"/>
    </row>
    <row r="17" spans="1:19" ht="15">
      <c r="A17" s="1533" t="s">
        <v>1136</v>
      </c>
      <c r="B17" s="1534" t="s">
        <v>1137</v>
      </c>
      <c r="C17" s="1535" t="s">
        <v>1138</v>
      </c>
      <c r="D17" s="1536" t="s">
        <v>1126</v>
      </c>
      <c r="E17" s="1537" t="s">
        <v>1127</v>
      </c>
      <c r="F17" s="1538"/>
      <c r="G17" s="1539"/>
      <c r="H17" s="1540" t="s">
        <v>1139</v>
      </c>
      <c r="I17" s="1541" t="s">
        <v>1124</v>
      </c>
      <c r="J17" s="1071"/>
      <c r="K17" s="3294" t="s">
        <v>1140</v>
      </c>
      <c r="L17" s="3295"/>
      <c r="M17" s="3296"/>
      <c r="N17" s="3294" t="s">
        <v>1141</v>
      </c>
      <c r="O17" s="3295"/>
      <c r="P17" s="329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住宅</v>
      </c>
      <c r="D19" s="3562">
        <f>抵押物清单!T4</f>
        <v>44236.67</v>
      </c>
      <c r="E19" s="51">
        <f t="shared" ref="E19:E26" si="1">SUM(F19:G19)</f>
        <v>140502.72</v>
      </c>
      <c r="F19" s="2558">
        <f>'数据-基础表'!I13</f>
        <v>140502.72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44236.67</v>
      </c>
      <c r="S19" s="51">
        <f t="shared" si="5"/>
        <v>140502.72</v>
      </c>
    </row>
    <row r="20" spans="1:19">
      <c r="A20" s="1549"/>
      <c r="B20" s="45" t="s">
        <v>1153</v>
      </c>
      <c r="C20" s="3116" t="str">
        <f>'数据-基础表'!C14</f>
        <v>地下仓储</v>
      </c>
      <c r="D20" s="3562">
        <f>抵押物清单!T5</f>
        <v>4955.53</v>
      </c>
      <c r="E20" s="51">
        <f t="shared" si="1"/>
        <v>15739.37</v>
      </c>
      <c r="F20" s="2558"/>
      <c r="G20" s="1243">
        <f>'数据-基础表'!K14</f>
        <v>15739.37</v>
      </c>
      <c r="H20" s="637">
        <f t="shared" ref="H20:H26" si="6">ROUND($D$3*I20/$E$3,2)</f>
        <v>0</v>
      </c>
      <c r="I20" s="46">
        <f t="shared" si="2"/>
        <v>0</v>
      </c>
      <c r="J20" s="1071"/>
      <c r="K20" s="637">
        <f t="shared" si="3"/>
        <v>0</v>
      </c>
      <c r="L20" s="43">
        <f t="shared" si="4"/>
        <v>0</v>
      </c>
      <c r="M20" s="46">
        <f t="shared" ref="M20:M26" si="7">K20+L20</f>
        <v>0</v>
      </c>
      <c r="N20" s="1550"/>
      <c r="O20" s="1551"/>
      <c r="P20" s="46">
        <f t="shared" ref="P20:P26" si="8">N20+O20</f>
        <v>0</v>
      </c>
      <c r="R20" s="43">
        <f t="shared" si="5"/>
        <v>4955.53</v>
      </c>
      <c r="S20" s="51">
        <f t="shared" si="5"/>
        <v>15739.37</v>
      </c>
    </row>
    <row r="21" spans="1:19">
      <c r="A21" s="1549"/>
      <c r="B21" s="45" t="s">
        <v>1153</v>
      </c>
      <c r="C21" s="3116" t="str">
        <f>'数据-基础表'!C15</f>
        <v>地下车库</v>
      </c>
      <c r="D21" s="3562">
        <f>抵押物清单!T6</f>
        <v>12481.26</v>
      </c>
      <c r="E21" s="51">
        <f t="shared" si="1"/>
        <v>39646.74</v>
      </c>
      <c r="F21" s="2558"/>
      <c r="G21" s="1243">
        <f>'数据-基础表'!M15</f>
        <v>39646.74</v>
      </c>
      <c r="H21" s="637">
        <f t="shared" si="6"/>
        <v>0</v>
      </c>
      <c r="I21" s="46">
        <f t="shared" si="2"/>
        <v>0</v>
      </c>
      <c r="J21" s="1071"/>
      <c r="K21" s="637">
        <f t="shared" si="3"/>
        <v>0</v>
      </c>
      <c r="L21" s="43">
        <f t="shared" si="4"/>
        <v>0</v>
      </c>
      <c r="M21" s="46">
        <f t="shared" si="7"/>
        <v>0</v>
      </c>
      <c r="N21" s="1550"/>
      <c r="O21" s="1551"/>
      <c r="P21" s="46">
        <f t="shared" si="8"/>
        <v>0</v>
      </c>
      <c r="R21" s="43">
        <f t="shared" si="5"/>
        <v>12481.26</v>
      </c>
      <c r="S21" s="51">
        <f t="shared" si="5"/>
        <v>39646.74</v>
      </c>
    </row>
    <row r="22" spans="1:19">
      <c r="A22" s="1549"/>
      <c r="B22" s="45" t="s">
        <v>1153</v>
      </c>
      <c r="C22" s="3117"/>
      <c r="D22" s="43">
        <f t="shared" ref="D20:D26" si="9">ROUND($D$3*E22/$E$3,2)</f>
        <v>0</v>
      </c>
      <c r="E22" s="51">
        <f t="shared" si="1"/>
        <v>0</v>
      </c>
      <c r="F22" s="2559"/>
      <c r="G22" s="2560"/>
      <c r="H22" s="637">
        <f t="shared" si="6"/>
        <v>0</v>
      </c>
      <c r="I22" s="46">
        <f t="shared" si="2"/>
        <v>0</v>
      </c>
      <c r="J22" s="1071"/>
      <c r="K22" s="637">
        <f t="shared" si="3"/>
        <v>0</v>
      </c>
      <c r="L22" s="43">
        <f t="shared" si="4"/>
        <v>0</v>
      </c>
      <c r="M22" s="46">
        <f t="shared" si="7"/>
        <v>0</v>
      </c>
      <c r="N22" s="1550"/>
      <c r="O22" s="1551"/>
      <c r="P22" s="46">
        <f t="shared" si="8"/>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7"/>
        <v>0</v>
      </c>
      <c r="N23" s="1550"/>
      <c r="O23" s="1551"/>
      <c r="P23" s="46">
        <f t="shared" si="8"/>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7"/>
        <v>0</v>
      </c>
      <c r="N24" s="1550"/>
      <c r="O24" s="1551"/>
      <c r="P24" s="46">
        <f t="shared" si="8"/>
        <v>0</v>
      </c>
      <c r="R24" s="43">
        <f t="shared" si="5"/>
        <v>0</v>
      </c>
      <c r="S24" s="51">
        <f t="shared" si="5"/>
        <v>0</v>
      </c>
    </row>
    <row r="25" spans="1:19">
      <c r="A25" s="1549"/>
      <c r="B25" s="45" t="s">
        <v>1153</v>
      </c>
      <c r="C25" s="3117"/>
      <c r="D25" s="43">
        <f t="shared" si="9"/>
        <v>0</v>
      </c>
      <c r="E25" s="51">
        <f t="shared" si="1"/>
        <v>0</v>
      </c>
      <c r="F25" s="2559"/>
      <c r="G25" s="2560"/>
      <c r="H25" s="42">
        <f t="shared" si="6"/>
        <v>0</v>
      </c>
      <c r="I25" s="46">
        <f t="shared" si="2"/>
        <v>0</v>
      </c>
      <c r="J25" s="1071"/>
      <c r="K25" s="637">
        <f t="shared" si="3"/>
        <v>0</v>
      </c>
      <c r="L25" s="43">
        <f t="shared" si="4"/>
        <v>0</v>
      </c>
      <c r="M25" s="46">
        <f t="shared" si="7"/>
        <v>0</v>
      </c>
      <c r="N25" s="1550"/>
      <c r="O25" s="1551"/>
      <c r="P25" s="46">
        <f t="shared" si="8"/>
        <v>0</v>
      </c>
      <c r="R25" s="43">
        <f t="shared" si="5"/>
        <v>0</v>
      </c>
      <c r="S25" s="51">
        <f t="shared" si="5"/>
        <v>0</v>
      </c>
    </row>
    <row r="26" spans="1:19">
      <c r="A26" s="1549"/>
      <c r="B26" s="45" t="s">
        <v>1153</v>
      </c>
      <c r="C26" s="53"/>
      <c r="D26" s="43">
        <f t="shared" si="9"/>
        <v>0</v>
      </c>
      <c r="E26" s="51">
        <f t="shared" si="1"/>
        <v>0</v>
      </c>
      <c r="F26" s="2559"/>
      <c r="G26" s="2560"/>
      <c r="H26" s="42">
        <f t="shared" si="6"/>
        <v>0</v>
      </c>
      <c r="I26" s="46">
        <f t="shared" si="2"/>
        <v>0</v>
      </c>
      <c r="J26" s="1071"/>
      <c r="K26" s="42">
        <f t="shared" si="3"/>
        <v>0</v>
      </c>
      <c r="L26" s="45">
        <f t="shared" si="4"/>
        <v>0</v>
      </c>
      <c r="M26" s="48">
        <f t="shared" si="7"/>
        <v>0</v>
      </c>
      <c r="N26" s="1552"/>
      <c r="O26" s="1553"/>
      <c r="P26" s="48">
        <f t="shared" si="8"/>
        <v>0</v>
      </c>
      <c r="R26" s="43">
        <f t="shared" si="5"/>
        <v>0</v>
      </c>
      <c r="S26" s="51">
        <f t="shared" si="5"/>
        <v>0</v>
      </c>
    </row>
    <row r="27" spans="1:19" ht="15.75" thickBot="1">
      <c r="A27" s="1549"/>
      <c r="B27" s="43"/>
      <c r="C27" s="1554" t="s">
        <v>1154</v>
      </c>
      <c r="D27" s="1072">
        <f>SUM(D19:D26)</f>
        <v>61673.46</v>
      </c>
      <c r="E27" s="1073">
        <f>IF(SUM(E19:E26)='数据-基础表'!BA5,SUM(E19:E26),IF(F27="地上面积有误","面积有误","地下面积有误"))</f>
        <v>195888.83</v>
      </c>
      <c r="F27" s="1072">
        <f>IF(SUM(F19:F26)=E8,SUM(F19:F26),"地上面积有误")</f>
        <v>140502.72</v>
      </c>
      <c r="G27" s="1074">
        <f>SUM(G19:G26)</f>
        <v>55386.11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61673.46</v>
      </c>
      <c r="S27" s="43">
        <f>IF(SUM(S19:S26)=$E$3,SUM(S19:S26),SUM(S19:S26)&amp;"误差"&amp;ROUND(SUM(S19:S26)-E3,2))</f>
        <v>195888.83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61673.46</v>
      </c>
      <c r="E31" s="643">
        <f>E27+E30</f>
        <v>195888.83</v>
      </c>
      <c r="F31" s="644">
        <f>F27+F30</f>
        <v>140502.72</v>
      </c>
      <c r="G31" s="645">
        <f>G27+G30</f>
        <v>55386.11</v>
      </c>
      <c r="H31" s="2439"/>
      <c r="I31" s="2439"/>
      <c r="J31" s="2439"/>
      <c r="K31" s="2439"/>
      <c r="L31" s="2439"/>
      <c r="M31" s="2439"/>
      <c r="N31" s="2439"/>
      <c r="O31" s="2439"/>
      <c r="P31" s="2439"/>
    </row>
    <row r="32" spans="1:19">
      <c r="A32" s="1526"/>
      <c r="B32" s="1526" t="s">
        <v>1159</v>
      </c>
      <c r="C32" s="1526"/>
      <c r="D32" s="1526"/>
      <c r="E32" s="990">
        <f>SUMIF(C19:C26,"*住宅*",E19:E26)</f>
        <v>140502.72</v>
      </c>
      <c r="F32" s="1526"/>
      <c r="G32" s="1526"/>
      <c r="H32" s="2439"/>
      <c r="I32" s="2439"/>
      <c r="J32" s="2439"/>
      <c r="K32" s="2439"/>
      <c r="L32" s="2439"/>
      <c r="M32" s="2439"/>
      <c r="N32" s="2439"/>
      <c r="O32" s="2439"/>
      <c r="P32" s="2439"/>
    </row>
    <row r="33" spans="4:4">
      <c r="D33" s="1558"/>
    </row>
  </sheetData>
  <sheetProtection algorithmName="SHA-512" hashValue="OU7MNL5KyHc1TyxhBVVk4qictmpDexnVlbur8kcG4w+T0UldULG3nG9l1CJbENixVfcY3sN5HJmtDD/GRTM5Pg==" saltValue="12EHiUsJu01JhEmxY2HhYw==" spinCount="100000"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4940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3391</v>
      </c>
      <c r="D6" s="805">
        <f>SUMIF(项目基本情况!C$12:I$12,C6,项目基本情况!C$14:I$14)</f>
        <v>70</v>
      </c>
      <c r="E6" s="804">
        <f>IF(B6="","",SUMIF(项目基本情况!C$12:I$12,C6,项目基本情况!C$13:I$13))</f>
        <v>68653</v>
      </c>
      <c r="F6" s="61">
        <f>SUMIF(项目基本情况!C$12:I$12,C6,项目基本情况!C$15:I$15)</f>
        <v>62.16</v>
      </c>
      <c r="G6" s="62">
        <f>IF(ISERROR(ROUND(POWER(1+H6,D6-F6)*(POWER(1+H6,F6)-1)/(POWER(1+H6,D6)-1),3)),0,ROUND(POWER(1+H6,D6-F6)*(POWER(1+H6,F6)-1)/(POWER(1+H6,D6)-1),3))</f>
        <v>0.98399999999999999</v>
      </c>
      <c r="H6" s="691">
        <v>0.05</v>
      </c>
      <c r="I6" s="691">
        <v>5.5E-2</v>
      </c>
      <c r="J6" s="63">
        <v>7.0000000000000007E-2</v>
      </c>
      <c r="K6" s="970">
        <f>SUMIF('数据-汇总表'!C$19:C$33,A6,'数据-汇总表'!E$19:E$33)</f>
        <v>140502.72</v>
      </c>
      <c r="L6" s="692">
        <v>5000</v>
      </c>
      <c r="M6" s="64">
        <f t="shared" ref="M6:M14" si="0">ROUND(K6*L6/10000,0)</f>
        <v>70251</v>
      </c>
      <c r="N6" s="690">
        <f>抵押物清单!W22</f>
        <v>0.55000000000000004</v>
      </c>
      <c r="O6" s="64">
        <f>IF($N$5="成新度","——",ROUND(M6*N6,0))</f>
        <v>38638</v>
      </c>
      <c r="P6" s="65">
        <f>IF($N$5="成新度","——",M6-O6)</f>
        <v>31613</v>
      </c>
      <c r="Q6" s="693">
        <v>0.12</v>
      </c>
      <c r="R6" s="66">
        <f ca="1">SUMIF('数据-汇总表'!C$19:C$33,A6,'数据-汇总表'!R$19:R$27)</f>
        <v>44236.67</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702513600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地下仓储</v>
      </c>
      <c r="B7" s="1587" t="str">
        <f t="shared" ref="B7:B13" si="1">IF(A7=0,"","经营性")</f>
        <v>经营性</v>
      </c>
      <c r="C7" s="1588" t="s">
        <v>3322</v>
      </c>
      <c r="D7" s="805">
        <f>SUMIF(项目基本情况!C$12:I$12,C7,项目基本情况!C$14:I$14)</f>
        <v>50</v>
      </c>
      <c r="E7" s="804">
        <f>IF(B7="","",SUMIF(项目基本情况!C$12:I$12,C7,项目基本情况!C$13:I$13))</f>
        <v>61348</v>
      </c>
      <c r="F7" s="61">
        <f>SUMIF(项目基本情况!C$12:I$12,C7,项目基本情况!C$15:I$15)</f>
        <v>42.15</v>
      </c>
      <c r="G7" s="62">
        <f t="shared" ref="G7:G11" si="2">IF(ISERROR(ROUND(POWER(1+H7,D7-F7)*(POWER(1+H7,F7)-1)/(POWER(1+H7,D7)-1),3)),0,ROUND(POWER(1+H7,D7-F7)*(POWER(1+H7,F7)-1)/(POWER(1+H7,D7)-1),3))</f>
        <v>0.95499999999999996</v>
      </c>
      <c r="H7" s="691">
        <v>0.05</v>
      </c>
      <c r="I7" s="691">
        <v>5.5E-2</v>
      </c>
      <c r="J7" s="63">
        <v>7.0000000000000007E-2</v>
      </c>
      <c r="K7" s="970">
        <f>SUMIF('数据-汇总表'!C$19:C$33,A7,'数据-汇总表'!E$19:E$33)</f>
        <v>15739.37</v>
      </c>
      <c r="L7" s="692">
        <v>4000</v>
      </c>
      <c r="M7" s="64">
        <f t="shared" si="0"/>
        <v>6296</v>
      </c>
      <c r="N7" s="690">
        <f>N6</f>
        <v>0.55000000000000004</v>
      </c>
      <c r="O7" s="64">
        <f t="shared" ref="O7:O14" si="3">IF($N$5="成新度","——",ROUND(M7*N7,0))</f>
        <v>3463</v>
      </c>
      <c r="P7" s="65">
        <f t="shared" ref="P7:P14" si="4">IF($N$5="成新度","——",M7-O7)</f>
        <v>2833</v>
      </c>
      <c r="Q7" s="693">
        <v>0.05</v>
      </c>
      <c r="R7" s="66">
        <f ca="1">SUMIF('数据-汇总表'!C$19:C$33,A7,'数据-汇总表'!R$19:R$27)</f>
        <v>4955.53</v>
      </c>
      <c r="S7" s="49">
        <f>IF('数据-汇总表'!$I$17="按面积比例",SUMIF('数据-汇总表'!C$19:C$33,A7,'数据-汇总表'!K$19:K$33),SUMIF('数据-汇总表'!C$19:C$33,A7,'数据-汇总表'!N$19:N$33))</f>
        <v>0</v>
      </c>
      <c r="T7" s="1092">
        <f t="shared" ref="T7:T13" si="5">ROUND($L$14*S7/10000,0)</f>
        <v>0</v>
      </c>
      <c r="U7" s="3127">
        <v>1</v>
      </c>
      <c r="V7" s="67">
        <v>0.01</v>
      </c>
      <c r="W7" s="67">
        <v>0.15</v>
      </c>
      <c r="X7" s="979"/>
      <c r="Y7" s="68">
        <v>1</v>
      </c>
      <c r="Z7" s="69"/>
      <c r="AA7" s="63"/>
      <c r="AB7" s="63"/>
      <c r="AC7" s="979"/>
      <c r="AD7" s="70"/>
      <c r="AE7" s="980">
        <f t="shared" ref="AE7:AE13" ca="1" si="6">IF(AN7="",0,SUMIF(INDIRECT("'"&amp;AN7&amp;"'"&amp;"!E:E"),$AE$5,INDIRECT("'"&amp;AN7&amp;"'"&amp;"!F:F")))</f>
        <v>40.65</v>
      </c>
      <c r="AF7" s="74"/>
      <c r="AG7" s="130">
        <f t="shared" ref="AG7:AG13" si="7">IF(AF7="",0,AE7-AF7)</f>
        <v>0</v>
      </c>
      <c r="AH7" s="71"/>
      <c r="AI7" s="73">
        <v>365</v>
      </c>
      <c r="AJ7" s="74"/>
      <c r="AK7" s="75">
        <v>2E-3</v>
      </c>
      <c r="AL7" s="76">
        <v>1E-3</v>
      </c>
      <c r="AM7" s="77">
        <v>0.01</v>
      </c>
      <c r="AN7" s="1589" t="s">
        <v>4948</v>
      </c>
      <c r="AO7" s="50">
        <f t="shared" ref="AO7:AO13" ca="1" si="8">SUMIF(INDIRECT("'"&amp;AN7&amp;"'"&amp;"!A:A"),"总价",INDIRECT("'"&amp;AN7&amp;"'"&amp;"!B:B"))</f>
        <v>6917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地下车库</v>
      </c>
      <c r="B8" s="1587" t="str">
        <f t="shared" si="1"/>
        <v>经营性</v>
      </c>
      <c r="C8" s="1588" t="s">
        <v>3321</v>
      </c>
      <c r="D8" s="805">
        <f>SUMIF(项目基本情况!C$12:I$12,C8,项目基本情况!C$14:I$14)</f>
        <v>50</v>
      </c>
      <c r="E8" s="804">
        <f>IF(B8="","",SUMIF(项目基本情况!C$12:I$12,C8,项目基本情况!C$13:I$13))</f>
        <v>61348</v>
      </c>
      <c r="F8" s="61">
        <f>SUMIF(项目基本情况!C$12:I$12,C8,项目基本情况!C$15:I$15)</f>
        <v>42.15</v>
      </c>
      <c r="G8" s="62">
        <f t="shared" si="2"/>
        <v>0.95499999999999996</v>
      </c>
      <c r="H8" s="691">
        <v>0.05</v>
      </c>
      <c r="I8" s="691">
        <v>5.5E-2</v>
      </c>
      <c r="J8" s="63">
        <v>7.0000000000000007E-2</v>
      </c>
      <c r="K8" s="970">
        <f>SUMIF('数据-汇总表'!C$19:C$33,A8,'数据-汇总表'!E$19:E$33)</f>
        <v>39646.74</v>
      </c>
      <c r="L8" s="692">
        <v>4000</v>
      </c>
      <c r="M8" s="64">
        <f>ROUND(K8*L8/10000,0)</f>
        <v>15859</v>
      </c>
      <c r="N8" s="690">
        <f>N7</f>
        <v>0.55000000000000004</v>
      </c>
      <c r="O8" s="64">
        <f t="shared" si="3"/>
        <v>8722</v>
      </c>
      <c r="P8" s="65">
        <f t="shared" si="4"/>
        <v>7137</v>
      </c>
      <c r="Q8" s="693">
        <v>0.05</v>
      </c>
      <c r="R8" s="66">
        <f ca="1">SUMIF('数据-汇总表'!C$19:C$33,A8,'数据-汇总表'!R$19:R$27)</f>
        <v>12481.26</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f>抵押物清单!L1569</f>
        <v>1567</v>
      </c>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0.97599999999999998</v>
      </c>
      <c r="H16" s="84">
        <f>ROUND(SUMPRODUCT(H6:H13,K6:K13)/SUMPRODUCT((H6:H13&gt;0)*(K6:K13)),3)</f>
        <v>0.05</v>
      </c>
      <c r="I16" s="85"/>
      <c r="J16" s="85"/>
      <c r="K16" s="86">
        <f>SUM(K6:K15)</f>
        <v>195888.83</v>
      </c>
      <c r="L16" s="87">
        <f>ROUND(M16*10000/SUM(K6:K14),0)</f>
        <v>4717</v>
      </c>
      <c r="M16" s="87">
        <f>SUM(M6:M14)</f>
        <v>92406</v>
      </c>
      <c r="N16" s="88">
        <f>ROUND(SUMPRODUCT(M6:M14,N6:N14)/M16,3)</f>
        <v>0.55000000000000004</v>
      </c>
      <c r="O16" s="87">
        <f>SUM(O6:O14)</f>
        <v>50823</v>
      </c>
      <c r="P16" s="87">
        <f>SUM(P6:P14)</f>
        <v>41583</v>
      </c>
      <c r="Q16" s="89">
        <f>ROUND(SUMPRODUCT(Q6:Q13,K6:K13)/SUMPRODUCT((Q6:Q13&gt;0)*(K6:K13)),2)</f>
        <v>0.1</v>
      </c>
      <c r="R16" s="974">
        <f ca="1">SUM(R6:R13)</f>
        <v>61673.46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1.5</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0</v>
      </c>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150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50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2285</v>
      </c>
      <c r="D34" s="2460" t="s">
        <v>2291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2300</v>
      </c>
      <c r="B40" s="1015">
        <f ca="1">IF(A40="利息：取LPR",存贷款利率!G1,存贷款利率!G1+C40)</f>
        <v>3.2500000000000001E-2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9" t="s">
        <v>2276</v>
      </c>
      <c r="B1" s="3310"/>
      <c r="C1" s="3310"/>
      <c r="D1" s="3310"/>
      <c r="E1" s="3310"/>
      <c r="F1" s="3310"/>
      <c r="G1" s="331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45962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15519</v>
      </c>
      <c r="D5" s="2300" t="e">
        <f>ROUND(B5*10000/$B$2,0)</f>
        <v>#DIV/0!</v>
      </c>
      <c r="E5" s="2462"/>
      <c r="F5" s="2463"/>
      <c r="G5" s="2463"/>
      <c r="H5" s="2463"/>
      <c r="I5" s="2463"/>
      <c r="J5" s="2463"/>
      <c r="K5" s="2463"/>
    </row>
    <row r="6" spans="1:11" ht="16.5">
      <c r="A6" s="2300" t="s">
        <v>656</v>
      </c>
      <c r="B6" s="2300">
        <f>SUM(G14:G23)</f>
        <v>0</v>
      </c>
      <c r="C6" s="2300">
        <f ca="1">IF(B6=G14,结果表!H108,ROUND(B6*10000/$B$1,0))</f>
        <v>15519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3343</v>
      </c>
      <c r="D10" s="2300" t="s">
        <v>3344</v>
      </c>
      <c r="E10" s="3137"/>
      <c r="F10" s="3141" t="s">
        <v>3345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Normal="100" zoomScaleSheetLayoutView="100" zoomScalePageLayoutView="80" workbookViewId="0">
      <selection activeCell="D122" sqref="D122:I1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5" t="str">
        <f>项目基本情况!S2</f>
        <v>北京市房地产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4" t="s">
        <v>1265</v>
      </c>
      <c r="B4" s="1625" t="s">
        <v>1266</v>
      </c>
      <c r="C4" s="1626" t="s">
        <v>4952</v>
      </c>
      <c r="D4" s="1626" t="s">
        <v>4953</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25" t="s">
        <v>1268</v>
      </c>
      <c r="B5" s="3312">
        <v>25</v>
      </c>
      <c r="C5" s="3328"/>
      <c r="D5" s="3348"/>
      <c r="E5" s="123" t="s">
        <v>1269</v>
      </c>
      <c r="F5" s="1627"/>
      <c r="G5" s="1627"/>
      <c r="H5" s="1627"/>
      <c r="I5" s="1281"/>
    </row>
    <row r="6" spans="1:12" ht="12.75">
      <c r="A6" s="3325"/>
      <c r="B6" s="3312"/>
      <c r="C6" s="3329"/>
      <c r="D6" s="3348"/>
      <c r="E6" s="123" t="s">
        <v>1270</v>
      </c>
      <c r="F6" s="1627"/>
      <c r="G6" s="1627"/>
      <c r="H6" s="1627"/>
      <c r="I6" s="1281"/>
    </row>
    <row r="7" spans="1:12" ht="12.75">
      <c r="A7" s="3325"/>
      <c r="B7" s="3312"/>
      <c r="C7" s="3330"/>
      <c r="D7" s="3348"/>
      <c r="E7" s="123" t="s">
        <v>1271</v>
      </c>
      <c r="F7" s="1627"/>
      <c r="G7" s="1627"/>
      <c r="H7" s="1627"/>
      <c r="I7" s="1281"/>
    </row>
    <row r="8" spans="1:12" ht="12.75">
      <c r="A8" s="3325" t="s">
        <v>1272</v>
      </c>
      <c r="B8" s="3312">
        <v>15</v>
      </c>
      <c r="C8" s="3328"/>
      <c r="D8" s="3348"/>
      <c r="E8" s="123" t="s">
        <v>1273</v>
      </c>
      <c r="F8" s="1627"/>
      <c r="G8" s="1627"/>
      <c r="H8" s="1627"/>
      <c r="I8" s="1281"/>
    </row>
    <row r="9" spans="1:12" ht="12.75">
      <c r="A9" s="3325"/>
      <c r="B9" s="3312"/>
      <c r="C9" s="3330"/>
      <c r="D9" s="3348"/>
      <c r="E9" s="123" t="s">
        <v>1274</v>
      </c>
      <c r="F9" s="1627"/>
      <c r="G9" s="1627"/>
      <c r="H9" s="1627"/>
      <c r="I9" s="1281"/>
    </row>
    <row r="10" spans="1:12" ht="12.75">
      <c r="A10" s="3325" t="s">
        <v>1275</v>
      </c>
      <c r="B10" s="3312">
        <v>15</v>
      </c>
      <c r="C10" s="3328"/>
      <c r="D10" s="3348"/>
      <c r="E10" s="123" t="s">
        <v>1276</v>
      </c>
      <c r="F10" s="1627"/>
      <c r="G10" s="1627"/>
      <c r="H10" s="1627"/>
      <c r="I10" s="1281"/>
    </row>
    <row r="11" spans="1:12" ht="12.75">
      <c r="A11" s="3325"/>
      <c r="B11" s="3312"/>
      <c r="C11" s="3330"/>
      <c r="D11" s="3348"/>
      <c r="E11" s="123" t="s">
        <v>1277</v>
      </c>
      <c r="F11" s="1627"/>
      <c r="G11" s="1627"/>
      <c r="H11" s="1627"/>
      <c r="I11" s="1281"/>
    </row>
    <row r="12" spans="1:12" ht="12.75">
      <c r="A12" s="3325" t="s">
        <v>1278</v>
      </c>
      <c r="B12" s="3312">
        <v>15</v>
      </c>
      <c r="C12" s="3328"/>
      <c r="D12" s="3348"/>
      <c r="E12" s="123" t="s">
        <v>1279</v>
      </c>
      <c r="F12" s="1627"/>
      <c r="G12" s="1627"/>
      <c r="H12" s="1627"/>
      <c r="I12" s="1281"/>
    </row>
    <row r="13" spans="1:12" ht="12.75">
      <c r="A13" s="3325"/>
      <c r="B13" s="3312"/>
      <c r="C13" s="3330"/>
      <c r="D13" s="3348"/>
      <c r="E13" s="123" t="s">
        <v>1280</v>
      </c>
      <c r="F13" s="1627"/>
      <c r="G13" s="1627"/>
      <c r="H13" s="1627"/>
      <c r="I13" s="1281"/>
    </row>
    <row r="14" spans="1:12" ht="12.75">
      <c r="A14" s="3325" t="s">
        <v>1281</v>
      </c>
      <c r="B14" s="3312">
        <v>30</v>
      </c>
      <c r="C14" s="3328">
        <v>5</v>
      </c>
      <c r="D14" s="3348">
        <v>5</v>
      </c>
      <c r="E14" s="123" t="s">
        <v>1282</v>
      </c>
      <c r="F14" s="1627"/>
      <c r="G14" s="1627"/>
      <c r="H14" s="1627"/>
      <c r="I14" s="1281"/>
    </row>
    <row r="15" spans="1:12" ht="12.75">
      <c r="A15" s="3325"/>
      <c r="B15" s="3312"/>
      <c r="C15" s="3329"/>
      <c r="D15" s="3348"/>
      <c r="E15" s="123" t="s">
        <v>1283</v>
      </c>
      <c r="F15" s="1627"/>
      <c r="G15" s="1627"/>
      <c r="H15" s="1627"/>
      <c r="I15" s="1281"/>
    </row>
    <row r="16" spans="1:12" ht="12.75">
      <c r="A16" s="3325"/>
      <c r="B16" s="3312"/>
      <c r="C16" s="3330"/>
      <c r="D16" s="334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5" t="s">
        <v>2130</v>
      </c>
      <c r="F18" s="3336"/>
      <c r="G18" s="3336"/>
      <c r="H18" s="3336"/>
      <c r="I18" s="3336"/>
      <c r="K18" s="294" t="s">
        <v>1289</v>
      </c>
      <c r="L18" s="294">
        <f>IF(C1="",'数据-汇总表'!E3,SUMIF(项目类型,C1,'数据-汇总表'!E17:E26)+SUMIF(项目类型,C1,'数据-汇总表'!I17:I26))</f>
        <v>195888.83</v>
      </c>
      <c r="M18" s="294">
        <f>IF(C1="",'数据-汇总表'!E3,SUMIF(项目类型,C1,'数据-汇总表'!E17:E26))</f>
        <v>195888.83</v>
      </c>
    </row>
    <row r="19" spans="1:36" ht="15">
      <c r="A19" s="1630" t="s">
        <v>1290</v>
      </c>
      <c r="B19" s="1631" t="s">
        <v>1291</v>
      </c>
      <c r="C19" s="126">
        <f ca="1">SUMIF(INDIRECT("'"&amp;C4&amp;"'"&amp;"!A:A"),结果表!B19,INDIRECT("'"&amp;C4&amp;"'"&amp;"!B:B"))</f>
        <v>303792</v>
      </c>
      <c r="D19" s="127">
        <f ca="1">SUMIF(INDIRECT("'"&amp;D4&amp;"'"&amp;"!A:A"),结果表!B19,INDIRECT("'"&amp;D4&amp;"'"&amp;"!B:B"))</f>
        <v>304210</v>
      </c>
      <c r="E19" s="1630" t="s">
        <v>1292</v>
      </c>
      <c r="F19" s="1631" t="s">
        <v>1291</v>
      </c>
      <c r="G19" s="128">
        <f ca="1">ROUND(C19*$C$18+D19*$D$18,0)</f>
        <v>304001</v>
      </c>
      <c r="H19" s="1632" t="s">
        <v>1293</v>
      </c>
      <c r="I19" s="121"/>
      <c r="K19" s="294" t="s">
        <v>1294</v>
      </c>
      <c r="L19" s="294">
        <f>IF(C1="",'数据-汇总表'!D3,SUMIF(项目类型,C1,'数据-汇总表'!D17:D26)+SUMIF(项目类型,C1,'数据-汇总表'!H17:H27))</f>
        <v>61673.46</v>
      </c>
      <c r="M19" s="294">
        <f>IF(C1="",'数据-汇总表'!D3,SUMIF(项目类型,C1,'数据-汇总表'!D17:D26))</f>
        <v>61673.46</v>
      </c>
    </row>
    <row r="20" spans="1:36" ht="15">
      <c r="A20" s="1633"/>
      <c r="B20" s="43" t="s">
        <v>1295</v>
      </c>
      <c r="C20" s="129">
        <f ca="1">SUMIF(INDIRECT("'"&amp;C4&amp;"'"&amp;"!A:A"),结果表!B20,INDIRECT("'"&amp;C4&amp;"'"&amp;"!B:B"))</f>
        <v>15508</v>
      </c>
      <c r="D20" s="130">
        <f ca="1">SUMIF(INDIRECT("'"&amp;D4&amp;"'"&amp;"!A:A"),结果表!B20,INDIRECT("'"&amp;D4&amp;"'"&amp;"!B:B"))</f>
        <v>15530</v>
      </c>
      <c r="E20" s="1633"/>
      <c r="F20" s="43" t="s">
        <v>1295</v>
      </c>
      <c r="G20" s="131">
        <f ca="1">ROUND(C20*$C$18+D20*$D$18,0)</f>
        <v>15519</v>
      </c>
      <c r="H20" s="760" t="s">
        <v>1296</v>
      </c>
      <c r="I20" s="121"/>
    </row>
    <row r="21" spans="1:36" ht="15" customHeight="1" thickBot="1">
      <c r="A21" s="449"/>
      <c r="B21" s="93" t="s">
        <v>1297</v>
      </c>
      <c r="C21" s="678">
        <f ca="1">ROUND(C19*10000/L19,0)</f>
        <v>49258</v>
      </c>
      <c r="D21" s="679">
        <f ca="1">ROUND(D19*10000/L19,0)</f>
        <v>49326</v>
      </c>
      <c r="E21" s="449"/>
      <c r="F21" s="93" t="s">
        <v>1297</v>
      </c>
      <c r="G21" s="132">
        <f ca="1">ROUND(G19*10000/L19,0)</f>
        <v>49292</v>
      </c>
      <c r="H21" s="1634" t="s">
        <v>1296</v>
      </c>
      <c r="I21" s="121"/>
    </row>
    <row r="22" spans="1:36" ht="15" thickBot="1">
      <c r="A22" s="1564" t="s">
        <v>1298</v>
      </c>
      <c r="B22" s="1635"/>
      <c r="C22" s="1636"/>
      <c r="D22" s="680">
        <f ca="1">IF(C19&lt;D19,D19/C19-1,C19/D19-1)</f>
        <v>1.3759414336125264E-3</v>
      </c>
      <c r="E22" s="121"/>
      <c r="F22" s="121"/>
      <c r="G22" s="121"/>
      <c r="H22" s="121"/>
      <c r="I22" s="121"/>
    </row>
    <row r="23" spans="1:36" ht="13.5" thickBot="1">
      <c r="A23" s="646"/>
      <c r="B23" s="646"/>
      <c r="C23" s="646"/>
      <c r="D23" s="646"/>
      <c r="E23" s="121"/>
      <c r="F23" s="121"/>
      <c r="G23" s="121"/>
      <c r="H23" s="121"/>
      <c r="I23" s="121"/>
    </row>
    <row r="24" spans="1:36" ht="14.25">
      <c r="A24" s="3319" t="s">
        <v>1299</v>
      </c>
      <c r="B24" s="1631" t="s">
        <v>1291</v>
      </c>
      <c r="C24" s="128">
        <f>IF(B30=0,0,D30)</f>
        <v>0</v>
      </c>
      <c r="D24" s="1637"/>
      <c r="E24" s="121"/>
      <c r="F24" s="121"/>
      <c r="G24" s="121"/>
      <c r="H24" s="121"/>
      <c r="I24" s="121"/>
    </row>
    <row r="25" spans="1:36" ht="14.25">
      <c r="A25" s="332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304001</v>
      </c>
      <c r="D32" s="1641" t="s">
        <v>5017</v>
      </c>
      <c r="E32" s="121"/>
      <c r="F32" s="121"/>
      <c r="G32" s="121"/>
      <c r="H32" s="121"/>
      <c r="I32" s="121"/>
    </row>
    <row r="33" spans="1:15" ht="15">
      <c r="A33" s="740" t="s">
        <v>1306</v>
      </c>
      <c r="B33" s="123"/>
      <c r="C33" s="1642" t="s">
        <v>5018</v>
      </c>
      <c r="D33" s="1643" t="s">
        <v>4952</v>
      </c>
      <c r="E33" s="1644" t="s">
        <v>1307</v>
      </c>
      <c r="F33" s="1645" t="str">
        <f>IF(D32="楼面单价","取值（单价）","取值（总价）")</f>
        <v>取值（总价）</v>
      </c>
      <c r="G33" s="121"/>
      <c r="H33" s="121"/>
      <c r="I33" s="121"/>
    </row>
    <row r="34" spans="1:15" ht="15">
      <c r="A34" s="1646"/>
      <c r="B34" s="1647" t="s">
        <v>1308</v>
      </c>
      <c r="C34" s="140">
        <f ca="1">IF(C33="自定义",F34,C32-C35)</f>
        <v>231345</v>
      </c>
      <c r="D34" s="808">
        <f ca="1">IF(C33="自定义",ROUND(C34/C32,3),IF(C33="收益比率",SUMIF(INDIRECT("'"&amp;D33&amp;"'"&amp;"!b:b"),"土地收益比率",INDIRECT("'"&amp;D33&amp;"'"&amp;"!c:c")),SUMIF(INDIRECT("'"&amp;D33&amp;"'"&amp;"!b:b"),"土地成本比率",INDIRECT("'"&amp;D33&amp;"'"&amp;"!c:c"))))</f>
        <v>0.76100000000000001</v>
      </c>
      <c r="E34" s="1648" t="s">
        <v>1309</v>
      </c>
      <c r="F34" s="1243"/>
      <c r="G34" s="121"/>
      <c r="H34" s="121"/>
      <c r="I34" s="121"/>
    </row>
    <row r="35" spans="1:15" ht="15.75" thickBot="1">
      <c r="A35" s="1649"/>
      <c r="B35" s="1650" t="s">
        <v>1310</v>
      </c>
      <c r="C35" s="1090">
        <f ca="1">IF(C33="自定义",F35,ROUND(C32*D35,0))</f>
        <v>72656</v>
      </c>
      <c r="D35" s="1091">
        <f ca="1">IF(C33="自定义",ROUND(C35/C32,3),IF(C33="收益比率",SUMIF(INDIRECT("'"&amp;D33&amp;"'"&amp;"!b:b"),"建筑物收益比率",INDIRECT("'"&amp;D33&amp;"'"&amp;"!c:c")),SUMIF(INDIRECT("'"&amp;D33&amp;"'"&amp;"!b:b"),"建筑物成本比率",INDIRECT("'"&amp;D33&amp;"'"&amp;"!c:c"))))</f>
        <v>0.23899999999999999</v>
      </c>
      <c r="E35" s="1651" t="s">
        <v>1311</v>
      </c>
      <c r="F35" s="146"/>
      <c r="G35" s="121"/>
      <c r="H35" s="121"/>
      <c r="I35" s="121"/>
    </row>
    <row r="36" spans="1:15" ht="15.75" thickBot="1">
      <c r="A36" s="3339" t="s">
        <v>1312</v>
      </c>
      <c r="B36" s="1652" t="s">
        <v>1313</v>
      </c>
      <c r="C36" s="137"/>
      <c r="D36" s="1653"/>
      <c r="E36" s="1567"/>
      <c r="F36" s="1654"/>
      <c r="G36" s="121"/>
      <c r="H36" s="121"/>
      <c r="I36" s="121"/>
    </row>
    <row r="37" spans="1:15" ht="15.75" thickBot="1">
      <c r="A37" s="3340"/>
      <c r="B37" s="1555" t="s">
        <v>1314</v>
      </c>
      <c r="C37" s="139"/>
      <c r="D37" s="1071"/>
      <c r="E37" s="1071"/>
      <c r="F37" s="1654"/>
      <c r="G37" s="121"/>
      <c r="H37" s="121"/>
      <c r="I37" s="121"/>
    </row>
    <row r="38" spans="1:15" ht="15.75" thickBot="1">
      <c r="A38" s="334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6" t="s">
        <v>1326</v>
      </c>
      <c r="B45" s="3317"/>
      <c r="C45" s="3318"/>
      <c r="D45" s="147">
        <f ca="1">ROUND(H101*F45,0)</f>
        <v>304001</v>
      </c>
      <c r="E45" s="148" t="s">
        <v>1327</v>
      </c>
      <c r="F45" s="149">
        <v>1</v>
      </c>
      <c r="G45" s="150" t="s">
        <v>1328</v>
      </c>
      <c r="H45" s="121"/>
      <c r="I45" s="121"/>
      <c r="J45" s="3394" t="s">
        <v>1329</v>
      </c>
      <c r="K45" s="3394"/>
      <c r="L45" s="3394"/>
      <c r="M45" s="3394"/>
      <c r="N45" s="3394"/>
      <c r="O45" s="3394"/>
    </row>
    <row r="46" spans="1:15" ht="14.25" customHeight="1">
      <c r="A46" s="3313" t="s">
        <v>1330</v>
      </c>
      <c r="B46" s="3314"/>
      <c r="C46" s="3314"/>
      <c r="D46" s="3314"/>
      <c r="E46" s="3314"/>
      <c r="F46" s="3314"/>
      <c r="G46" s="3315"/>
      <c r="H46" s="1668"/>
      <c r="I46" s="151"/>
      <c r="J46" s="2310">
        <v>1</v>
      </c>
      <c r="K46" s="3375" t="s">
        <v>1331</v>
      </c>
      <c r="L46" s="3375"/>
      <c r="M46" s="3395"/>
      <c r="N46" s="3395"/>
      <c r="O46" s="3395"/>
    </row>
    <row r="47" spans="1:15" ht="12" customHeight="1">
      <c r="A47" s="152" t="s">
        <v>1332</v>
      </c>
      <c r="B47" s="153"/>
      <c r="C47" s="154"/>
      <c r="D47" s="1024" t="s">
        <v>1333</v>
      </c>
      <c r="E47" s="294" t="s">
        <v>1334</v>
      </c>
      <c r="F47" s="155" t="s">
        <v>1335</v>
      </c>
      <c r="G47" s="2333" t="s">
        <v>1336</v>
      </c>
      <c r="H47" s="2334"/>
      <c r="I47" s="151"/>
      <c r="J47" s="2310">
        <v>2</v>
      </c>
      <c r="K47" s="3375" t="s">
        <v>1337</v>
      </c>
      <c r="L47" s="3375"/>
      <c r="M47" s="3396">
        <f>'数据-取费表'!B2</f>
        <v>45962</v>
      </c>
      <c r="N47" s="3396"/>
      <c r="O47" s="3396"/>
    </row>
    <row r="48" spans="1:15" ht="25.5">
      <c r="A48" s="3344" t="s">
        <v>1338</v>
      </c>
      <c r="B48" s="3327"/>
      <c r="C48" s="332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75" t="s">
        <v>1340</v>
      </c>
      <c r="L48" s="3375"/>
      <c r="M48" s="3397">
        <f ca="1">H101</f>
        <v>304001</v>
      </c>
      <c r="N48" s="3397"/>
      <c r="O48" s="3397"/>
    </row>
    <row r="49" spans="1:35" ht="25.5" customHeight="1">
      <c r="A49" s="2152" t="s">
        <v>1341</v>
      </c>
      <c r="B49" s="3311" t="s">
        <v>1342</v>
      </c>
      <c r="C49" s="3311"/>
      <c r="D49" s="1478">
        <v>0</v>
      </c>
      <c r="E49" s="316" t="s">
        <v>1343</v>
      </c>
      <c r="F49" s="2233" t="s">
        <v>28</v>
      </c>
      <c r="G49" s="3381"/>
      <c r="H49" s="2134" t="s">
        <v>2133</v>
      </c>
      <c r="I49" s="2135"/>
      <c r="J49" s="2310">
        <v>4</v>
      </c>
      <c r="K49" s="3375" t="str">
        <f>IF(项目基本情况!E8="房地产抵押价值","房地产抵押价值","抵押担保权已注销时的房地产抵押价值")</f>
        <v>房地产抵押价值</v>
      </c>
      <c r="L49" s="3375"/>
      <c r="M49" s="3397">
        <f ca="1">IF(项目基本情况!E8="房地产抵押价值",H107,H109)</f>
        <v>304001</v>
      </c>
      <c r="N49" s="3397"/>
      <c r="O49" s="3397"/>
    </row>
    <row r="50" spans="1:35" ht="25.5" customHeight="1">
      <c r="A50" s="2338"/>
      <c r="B50" s="3311" t="s">
        <v>1344</v>
      </c>
      <c r="C50" s="3311"/>
      <c r="D50" s="2189"/>
      <c r="E50" s="323"/>
      <c r="F50" s="2233"/>
      <c r="G50" s="3382"/>
      <c r="H50" s="2136" t="s">
        <v>2134</v>
      </c>
      <c r="I50" s="2135"/>
      <c r="J50" s="3394" t="s">
        <v>1345</v>
      </c>
      <c r="K50" s="3394"/>
      <c r="L50" s="3394"/>
      <c r="M50" s="3394"/>
      <c r="N50" s="3394"/>
      <c r="O50" s="3394"/>
    </row>
    <row r="51" spans="1:35" ht="20.45" customHeight="1">
      <c r="A51" s="2339"/>
      <c r="B51" s="3311" t="s">
        <v>1346</v>
      </c>
      <c r="C51" s="3311"/>
      <c r="D51" s="1024"/>
      <c r="E51" s="319"/>
      <c r="F51" s="2233"/>
      <c r="G51" s="3383"/>
      <c r="H51" s="2136" t="s">
        <v>2135</v>
      </c>
      <c r="I51" s="2135"/>
      <c r="J51" s="2311" t="s">
        <v>1347</v>
      </c>
      <c r="K51" s="3375" t="s">
        <v>1348</v>
      </c>
      <c r="L51" s="3375"/>
      <c r="M51" s="2311" t="s">
        <v>1349</v>
      </c>
      <c r="N51" s="2311" t="s">
        <v>1350</v>
      </c>
      <c r="O51" s="2311" t="s">
        <v>1351</v>
      </c>
    </row>
    <row r="52" spans="1:35" ht="24" customHeight="1">
      <c r="A52" s="2153" t="s">
        <v>1352</v>
      </c>
      <c r="B52" s="3311" t="s">
        <v>1353</v>
      </c>
      <c r="C52" s="3311"/>
      <c r="D52" s="1024">
        <f ca="1">ROUND(D45*'数据-取费表'!B41/(1+'数据-取费表'!C42),0)</f>
        <v>15924</v>
      </c>
      <c r="E52" s="1256" t="s">
        <v>1354</v>
      </c>
      <c r="F52" s="2340">
        <f>'数据-取费表'!B41</f>
        <v>5.5000000000000007E-2</v>
      </c>
      <c r="G52" s="2341"/>
      <c r="H52" s="2331"/>
      <c r="I52" s="1669"/>
      <c r="J52" s="2310">
        <v>1</v>
      </c>
      <c r="K52" s="3376" t="s">
        <v>1355</v>
      </c>
      <c r="L52" s="3376"/>
      <c r="M52" s="2312" t="b">
        <f>D48</f>
        <v>0</v>
      </c>
      <c r="N52" s="2310" t="str">
        <f>E48</f>
        <v>销售额×税（费）率</v>
      </c>
      <c r="O52" s="2313">
        <f>F48</f>
        <v>5.5000000000000007E-2</v>
      </c>
    </row>
    <row r="53" spans="1:35" ht="12" customHeight="1">
      <c r="A53" s="2153" t="s">
        <v>1356</v>
      </c>
      <c r="B53" s="3337" t="s">
        <v>2281</v>
      </c>
      <c r="C53" s="3338"/>
      <c r="D53" s="1024">
        <f ca="1">ROUND(D45*'数据-取费表'!B41/(1+'数据-取费表'!C42),0)</f>
        <v>15924</v>
      </c>
      <c r="E53" s="1256" t="s">
        <v>1354</v>
      </c>
      <c r="F53" s="2340">
        <f>'数据-取费表'!B41</f>
        <v>5.5000000000000007E-2</v>
      </c>
      <c r="G53" s="2341"/>
      <c r="H53" s="2331"/>
      <c r="I53" s="1669"/>
      <c r="J53" s="2310">
        <v>2</v>
      </c>
      <c r="K53" s="3376" t="s">
        <v>1357</v>
      </c>
      <c r="L53" s="3376"/>
      <c r="M53" s="2312">
        <f t="shared" ref="M53:O54" ca="1" si="0">D55</f>
        <v>152</v>
      </c>
      <c r="N53" s="2310" t="str">
        <f t="shared" si="0"/>
        <v>销售额×税（费）率</v>
      </c>
      <c r="O53" s="2313" t="str">
        <f t="shared" si="0"/>
        <v>免征</v>
      </c>
    </row>
    <row r="54" spans="1:35" ht="12" customHeight="1">
      <c r="A54" s="2153" t="s">
        <v>1358</v>
      </c>
      <c r="B54" s="3337" t="s">
        <v>2282</v>
      </c>
      <c r="C54" s="3338"/>
      <c r="D54" s="1024">
        <f ca="1">C68</f>
        <v>15924</v>
      </c>
      <c r="E54" s="319" t="s">
        <v>1359</v>
      </c>
      <c r="F54" s="2340">
        <f>'数据-取费表'!B41</f>
        <v>5.5000000000000007E-2</v>
      </c>
      <c r="G54" s="2341"/>
      <c r="H54" s="2342"/>
      <c r="I54" s="1669"/>
      <c r="J54" s="2310">
        <v>3</v>
      </c>
      <c r="K54" s="3376" t="s">
        <v>1360</v>
      </c>
      <c r="L54" s="3376"/>
      <c r="M54" s="2312">
        <f t="shared" ca="1" si="0"/>
        <v>172339</v>
      </c>
      <c r="N54" s="2310" t="str">
        <f t="shared" si="0"/>
        <v>增值额×税（费）率</v>
      </c>
      <c r="O54" s="2314" t="str">
        <f t="shared" si="0"/>
        <v>免征</v>
      </c>
    </row>
    <row r="55" spans="1:35" ht="24" customHeight="1">
      <c r="A55" s="3326" t="s">
        <v>1361</v>
      </c>
      <c r="B55" s="3327"/>
      <c r="C55" s="3327"/>
      <c r="D55" s="12">
        <f ca="1">IF(H55="个人住宅",0,ROUND(D45*I55,0))</f>
        <v>152</v>
      </c>
      <c r="E55" s="1256" t="s">
        <v>1362</v>
      </c>
      <c r="F55" s="2340" t="str">
        <f>IF(H55="正常",I55,"免征")</f>
        <v>免征</v>
      </c>
      <c r="G55" s="2341"/>
      <c r="H55" s="2337"/>
      <c r="I55" s="157">
        <f>'数据-取费表'!B49</f>
        <v>5.0000000000000001E-4</v>
      </c>
      <c r="J55" s="2310">
        <f>IF(H59="非个人房产","",4)</f>
        <v>4</v>
      </c>
      <c r="K55" s="3376" t="str">
        <f>IF(H59="非个人房产","——","个人所得税")</f>
        <v>个人所得税</v>
      </c>
      <c r="L55" s="3376"/>
      <c r="M55" s="2315">
        <f ca="1">D59</f>
        <v>2895</v>
      </c>
      <c r="N55" s="1883" t="str">
        <f>E59</f>
        <v>差额计税</v>
      </c>
      <c r="O55" s="2316">
        <f>F59</f>
        <v>0.01</v>
      </c>
    </row>
    <row r="56" spans="1:35" ht="24.75">
      <c r="A56" s="3326" t="s">
        <v>1363</v>
      </c>
      <c r="B56" s="3327"/>
      <c r="C56" s="3327"/>
      <c r="D56" s="12">
        <f ca="1">IF(H56="个人住宅",D57,D58)</f>
        <v>172339</v>
      </c>
      <c r="E56" s="1256" t="s">
        <v>1364</v>
      </c>
      <c r="F56" s="2340" t="str">
        <f>IF(H56="正常",F58,"免征")</f>
        <v>免征</v>
      </c>
      <c r="G56" s="2343" t="s">
        <v>1365</v>
      </c>
      <c r="H56" s="2344"/>
      <c r="I56" s="1670"/>
      <c r="J56" s="2310" t="str">
        <f>IF(项目基本情况!K6="上海银行",IF(J55="",4,J55+1),"")</f>
        <v/>
      </c>
      <c r="K56" s="3399" t="str">
        <f>IF(项目基本情况!K6="上海银行","其他处置费用","")</f>
        <v/>
      </c>
      <c r="L56" s="3400"/>
      <c r="M56" s="2312" t="str">
        <f>IF(项目基本情况!K6="上海银行",M69,"")</f>
        <v/>
      </c>
      <c r="N56" s="3399" t="str">
        <f>IF(项目基本情况!K6="上海银行","包含处置中涉及的律师、诉讼、拍卖、评估等费用","")</f>
        <v/>
      </c>
      <c r="O56" s="3402"/>
    </row>
    <row r="57" spans="1:35" ht="12.75">
      <c r="A57" s="2153" t="s">
        <v>1341</v>
      </c>
      <c r="B57" s="3337" t="s">
        <v>1366</v>
      </c>
      <c r="C57" s="3338"/>
      <c r="D57" s="1478">
        <v>0</v>
      </c>
      <c r="E57" s="316" t="s">
        <v>1343</v>
      </c>
      <c r="F57" s="294"/>
      <c r="G57" s="2341"/>
      <c r="H57" s="2345"/>
      <c r="I57" s="1670"/>
      <c r="J57" s="3376">
        <f>IF(AND(J55="",J56=""),4,IF(项目基本情况!K6="上海银行",结果表!J56+1,结果表!J55+1))</f>
        <v>5</v>
      </c>
      <c r="K57" s="3376" t="s">
        <v>1367</v>
      </c>
      <c r="L57" s="2317" t="s">
        <v>1368</v>
      </c>
      <c r="M57" s="2318"/>
      <c r="N57" s="2319">
        <f ca="1">SUMIF(M52:M56,"&lt;9e307")</f>
        <v>175386</v>
      </c>
      <c r="O57" s="2320"/>
      <c r="P57" s="2465">
        <f ca="1">N57/M49</f>
        <v>0.57692573379692835</v>
      </c>
    </row>
    <row r="58" spans="1:35" ht="24.75">
      <c r="A58" s="2153" t="s">
        <v>1352</v>
      </c>
      <c r="B58" s="3337" t="s">
        <v>1369</v>
      </c>
      <c r="C58" s="3311"/>
      <c r="D58" s="12">
        <f ca="1">IF(H58="转让取得",C81,C97)</f>
        <v>172339</v>
      </c>
      <c r="E58" s="1256" t="s">
        <v>1364</v>
      </c>
      <c r="F58" s="294" t="s">
        <v>28</v>
      </c>
      <c r="G58" s="2341"/>
      <c r="H58" s="2344"/>
      <c r="I58" s="1670"/>
      <c r="J58" s="3376"/>
      <c r="K58" s="3376"/>
      <c r="L58" s="2317" t="s">
        <v>1370</v>
      </c>
      <c r="M58" s="2321"/>
      <c r="N58" s="2322" t="str">
        <f ca="1">NUMBERSTRING(INT(N57*10000),2)&amp;"元整"</f>
        <v>壹拾柒亿伍仟叁佰捌拾陆万元整</v>
      </c>
      <c r="O58" s="2323"/>
    </row>
    <row r="59" spans="1:35" ht="24.75" thickBot="1">
      <c r="A59" s="3379" t="s">
        <v>1371</v>
      </c>
      <c r="B59" s="3380"/>
      <c r="C59" s="3380"/>
      <c r="D59" s="2346">
        <f ca="1">IF(H59="非个人房产","——",IF(H59="个人住宅（满五唯一有凭证）",0,IF(H59="个人其他（无凭证）",ROUND(D45/(1+'数据-取费表'!C42)*F59,0),ROUND(C67*F59,0))))</f>
        <v>2895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77">
        <f>J57+1</f>
        <v>6</v>
      </c>
      <c r="K59" s="3376" t="s">
        <v>1372</v>
      </c>
      <c r="L59" s="2310" t="s">
        <v>1368</v>
      </c>
      <c r="M59" s="2324"/>
      <c r="N59" s="2325">
        <f ca="1">M49-N57</f>
        <v>128615</v>
      </c>
      <c r="O59" s="2326"/>
    </row>
    <row r="60" spans="1:35" ht="12" customHeight="1">
      <c r="A60" s="1671"/>
      <c r="B60" s="646"/>
      <c r="C60" s="646"/>
      <c r="D60" s="646"/>
      <c r="E60" s="1466"/>
      <c r="F60" s="1670"/>
      <c r="G60" s="1670"/>
      <c r="H60" s="151"/>
      <c r="I60" s="121"/>
      <c r="J60" s="3378"/>
      <c r="K60" s="3376"/>
      <c r="L60" s="2317" t="s">
        <v>1370</v>
      </c>
      <c r="M60" s="2321"/>
      <c r="N60" s="2322" t="str">
        <f ca="1">NUMBERSTRING(INT(N59*10000),2)&amp;"元整"</f>
        <v>壹拾贰亿捌仟陆佰壹拾伍万元整</v>
      </c>
      <c r="O60" s="2323"/>
    </row>
    <row r="61" spans="1:35" ht="13.5" thickBot="1">
      <c r="A61" s="3324" t="s">
        <v>1373</v>
      </c>
      <c r="B61" s="3324"/>
      <c r="C61" s="3324"/>
      <c r="D61" s="3324"/>
      <c r="E61" s="3324"/>
      <c r="F61" s="1670"/>
      <c r="G61" s="1670"/>
      <c r="H61" s="151"/>
      <c r="I61" s="121"/>
      <c r="J61" s="2310">
        <f>J59+1</f>
        <v>7</v>
      </c>
      <c r="K61" s="3376" t="s">
        <v>1374</v>
      </c>
      <c r="L61" s="3376"/>
      <c r="M61" s="2327"/>
      <c r="N61" s="2328">
        <f ca="1">ROUND(N59*10000/'数据-汇总表'!E3,0)</f>
        <v>6566</v>
      </c>
      <c r="O61" s="2329"/>
    </row>
    <row r="62" spans="1:35" ht="12.75">
      <c r="A62" s="3342" t="s">
        <v>1375</v>
      </c>
      <c r="B62" s="3343"/>
      <c r="C62" s="1865"/>
      <c r="D62" s="1865" t="s">
        <v>1376</v>
      </c>
      <c r="E62" s="158" t="s">
        <v>1377</v>
      </c>
      <c r="F62" s="1670"/>
      <c r="G62" s="1670"/>
      <c r="H62" s="151"/>
      <c r="I62" s="121"/>
    </row>
    <row r="63" spans="1:35" ht="12.75">
      <c r="A63" s="165" t="s">
        <v>330</v>
      </c>
      <c r="B63" s="159" t="s">
        <v>1378</v>
      </c>
      <c r="C63" s="2350">
        <f ca="1">ROUND((C64+C65)/(1+'数据-取费表'!C42),0)</f>
        <v>289525</v>
      </c>
      <c r="D63" s="159"/>
      <c r="E63" s="160"/>
      <c r="F63" s="1670"/>
      <c r="G63" s="1670"/>
      <c r="H63" s="151"/>
      <c r="I63" s="121"/>
      <c r="J63" s="3401" t="s">
        <v>1379</v>
      </c>
      <c r="K63" s="1245" t="s">
        <v>1380</v>
      </c>
      <c r="L63" s="1245">
        <f ca="1">IF(M49&gt;10000,M49*0.5%,IF(AND(M49&gt;1000,M49&lt;=10000),M49*1%,IF(AND(M49&gt;100,M49&lt;=1000),M49*3%,IF(AND(M49&gt;10,M49&lt;=100),M49*5%,M49*8%))))</f>
        <v>1520.0050000000001</v>
      </c>
      <c r="M63" s="294">
        <f ca="1">ROUND(L63,1)</f>
        <v>1520</v>
      </c>
      <c r="N63" s="2330"/>
      <c r="Z63" s="1623"/>
      <c r="AI63" s="1561"/>
    </row>
    <row r="64" spans="1:35" ht="14.25" customHeight="1">
      <c r="A64" s="161" t="s">
        <v>325</v>
      </c>
      <c r="B64" s="162" t="s">
        <v>1381</v>
      </c>
      <c r="C64" s="2351">
        <f ca="1">D45</f>
        <v>304001</v>
      </c>
      <c r="D64" s="162" t="s">
        <v>26</v>
      </c>
      <c r="E64" s="164"/>
      <c r="F64" s="1670"/>
      <c r="G64" s="1670"/>
      <c r="H64" s="151"/>
      <c r="I64" s="121"/>
      <c r="J64" s="3401"/>
      <c r="K64" s="1245" t="s">
        <v>1382</v>
      </c>
      <c r="L64" s="1245">
        <f ca="1">IF(M49&gt;2000,M49*0.5%,IF(AND(M49&gt;1000,M49&lt;=2000),M49*0.6%,IF(AND(M49&gt;500,M49&lt;=1000),M49*0.7%,IF(AND(M49&gt;200,M49&lt;=500),M49*0.8%,IF(AND(M49&gt;100,M49&lt;=200),M49*0.9%,IF(AND(M49&gt;50,M49&lt;=100),M49*1%,IF(AND(M49&gt;20,M49&lt;=50),M49*1.5%,IF(AND(M49&gt;10,M49&lt;=20),M49*2%,IF(AND(M49&gt;1,M49&lt;=10),M49*2.5%)))))))))</f>
        <v>1520.0050000000001</v>
      </c>
      <c r="M64" s="294">
        <f t="shared" ref="M64:M65" ca="1" si="1">ROUND(L64,1)</f>
        <v>1520</v>
      </c>
      <c r="N64" s="2331" t="s">
        <v>1383</v>
      </c>
      <c r="Z64" s="1623"/>
      <c r="AI64" s="1561"/>
    </row>
    <row r="65" spans="1:35" ht="14.25" customHeight="1">
      <c r="A65" s="161" t="s">
        <v>326</v>
      </c>
      <c r="B65" s="162" t="s">
        <v>1384</v>
      </c>
      <c r="C65" s="2352"/>
      <c r="D65" s="162"/>
      <c r="E65" s="164"/>
      <c r="F65" s="1670"/>
      <c r="G65" s="1670"/>
      <c r="H65" s="151"/>
      <c r="I65" s="121"/>
      <c r="J65" s="3401"/>
      <c r="K65" s="1245" t="s">
        <v>1385</v>
      </c>
      <c r="L65" s="1245">
        <f ca="1">IF(M49&gt;1000,M49*0.1%,IF(AND(M49&gt;500,M49&lt;=1000),M49*0.5%,IF(AND(M49&gt;50,M49&lt;=500),M49*1%,IF(AND(M49&gt;1,M49&lt;=50),M49*1.5%))))</f>
        <v>304.00100000000003</v>
      </c>
      <c r="M65" s="294">
        <f t="shared" ca="1" si="1"/>
        <v>304</v>
      </c>
      <c r="N65" s="2331" t="s">
        <v>1383</v>
      </c>
      <c r="Z65" s="1623"/>
      <c r="AI65" s="1561"/>
    </row>
    <row r="66" spans="1:35" ht="14.25" customHeight="1">
      <c r="A66" s="165" t="s">
        <v>327</v>
      </c>
      <c r="B66" s="166" t="s">
        <v>1386</v>
      </c>
      <c r="C66" s="2353"/>
      <c r="D66" s="166" t="s">
        <v>26</v>
      </c>
      <c r="E66" s="1251" t="s">
        <v>671</v>
      </c>
      <c r="F66" s="1670"/>
      <c r="G66" s="1670"/>
      <c r="H66" s="151"/>
      <c r="I66" s="121"/>
      <c r="J66" s="3401"/>
      <c r="K66" s="1245" t="s">
        <v>1387</v>
      </c>
      <c r="L66" s="1245">
        <f ca="1">M49*0.5%</f>
        <v>1520.0050000000001</v>
      </c>
      <c r="M66" s="294">
        <f ca="1">IF(L66&gt;0.5,0.5,ROUND(L66,0))</f>
        <v>0.5</v>
      </c>
      <c r="N66" s="2331" t="s">
        <v>1388</v>
      </c>
      <c r="Z66" s="1623"/>
      <c r="AI66" s="1561"/>
    </row>
    <row r="67" spans="1:35" ht="14.25" customHeight="1">
      <c r="A67" s="165" t="s">
        <v>328</v>
      </c>
      <c r="B67" s="166" t="s">
        <v>1389</v>
      </c>
      <c r="C67" s="2354">
        <f ca="1">C63-C66</f>
        <v>289525</v>
      </c>
      <c r="D67" s="162" t="s">
        <v>26</v>
      </c>
      <c r="E67" s="164"/>
      <c r="F67" s="1670"/>
      <c r="G67" s="1670"/>
      <c r="H67" s="151"/>
      <c r="I67" s="121"/>
      <c r="J67" s="3401"/>
      <c r="K67" s="1245" t="s">
        <v>1390</v>
      </c>
      <c r="L67" s="1245">
        <f ca="1">IF(M49&gt;=10000,(8.25+(M49-10000)*0.01%),IF(AND(M49&gt;=8000,M49&lt;10000),(7.85+(M49-8000)*0.02%),IF(AND(M49&gt;=5000,M49&lt;8000),(6.65+(M49-5000)*0.04%),IF(AND(M49&gt;=2000,M49&lt;5000),(4.25+(PM49-2000)*0.08%),IF(AND(M49&gt;=1000,M49&lt;2000),(2.75+(M49-1000)*0.15%),IF(AND(M49&gt;=100,M49&lt;1000),(0.5+(M49-100)*0.25%),IF(AND(M49&gt;0,M49&lt;100),M49*0.5%)))))))</f>
        <v>37.650100000000002</v>
      </c>
      <c r="M67" s="294">
        <f ca="1">ROUND(L67*0.9,1)</f>
        <v>33.9</v>
      </c>
      <c r="N67" s="2330"/>
      <c r="Z67" s="1623"/>
      <c r="AI67" s="1561"/>
    </row>
    <row r="68" spans="1:35" ht="14.25" customHeight="1" thickBot="1">
      <c r="A68" s="168" t="s">
        <v>329</v>
      </c>
      <c r="B68" s="169" t="s">
        <v>1391</v>
      </c>
      <c r="C68" s="2355">
        <f ca="1">IF(C67&lt;=0,0,ROUND(C67*D68,0))</f>
        <v>15924</v>
      </c>
      <c r="D68" s="2356">
        <f>'数据-取费表'!B41</f>
        <v>5.5000000000000007E-2</v>
      </c>
      <c r="E68" s="170"/>
      <c r="F68" s="1670"/>
      <c r="G68" s="1670"/>
      <c r="H68" s="151"/>
      <c r="I68" s="121"/>
      <c r="J68" s="3401"/>
      <c r="K68" s="1245" t="s">
        <v>1392</v>
      </c>
      <c r="L68" s="1245">
        <f ca="1">IF(M49&gt;10000,M49*0.5%,IF(AND(M49&gt;5000,M49&lt;=10000),M49*1%,IF(AND(M49&gt;1000,M49&lt;=5000),M49*2%,IF(AND(M49&gt;200,M49&lt;=1000),M49*3%,M49*5%))))</f>
        <v>1520.0050000000001</v>
      </c>
      <c r="M68" s="294">
        <f ca="1">ROUND(L68,1)</f>
        <v>1520</v>
      </c>
      <c r="N68" s="2330"/>
      <c r="Z68" s="1623"/>
      <c r="AI68" s="1561"/>
    </row>
    <row r="69" spans="1:35" ht="16.5" customHeight="1">
      <c r="A69" s="1672"/>
      <c r="B69" s="1673"/>
      <c r="C69" s="1674"/>
      <c r="D69" s="1675"/>
      <c r="E69" s="1676"/>
      <c r="F69" s="1466"/>
      <c r="G69" s="1466"/>
      <c r="H69" s="1467"/>
      <c r="I69" s="646"/>
      <c r="J69" s="3401"/>
      <c r="K69" s="1245" t="s">
        <v>1393</v>
      </c>
      <c r="L69" s="1245"/>
      <c r="M69" s="294">
        <f ca="1">ROUND(SUM(M63:M68),0)</f>
        <v>4898</v>
      </c>
      <c r="N69" s="2332">
        <f ca="1">M69/M49</f>
        <v>1.6111789105956887E-2</v>
      </c>
      <c r="Z69" s="1623"/>
      <c r="AI69" s="1561"/>
    </row>
    <row r="70" spans="1:35" s="642" customFormat="1" ht="15" thickBot="1">
      <c r="A70" s="3363" t="s">
        <v>1394</v>
      </c>
      <c r="B70" s="3364"/>
      <c r="C70" s="3364"/>
      <c r="D70" s="3364"/>
      <c r="E70" s="3364"/>
      <c r="F70" s="3364"/>
      <c r="G70" s="3364"/>
      <c r="H70" s="336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2" t="s">
        <v>1375</v>
      </c>
      <c r="B71" s="334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289525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1448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7" t="s">
        <v>1402</v>
      </c>
      <c r="F76" s="3311"/>
      <c r="G76" s="3311"/>
      <c r="H76" s="336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1448</v>
      </c>
      <c r="D78" s="2363">
        <f>'数据-取费表'!B43</f>
        <v>5.000000000000001E-3</v>
      </c>
      <c r="E78" s="3321" t="s">
        <v>1406</v>
      </c>
      <c r="F78" s="3322"/>
      <c r="G78" s="3322"/>
      <c r="H78" s="333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288077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198.94820441988949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172339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3" t="s">
        <v>1410</v>
      </c>
      <c r="B83" s="3364"/>
      <c r="C83" s="3364"/>
      <c r="D83" s="3364"/>
      <c r="E83" s="3364"/>
      <c r="F83" s="3364"/>
      <c r="G83" s="3364"/>
      <c r="H83" s="336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2" t="s">
        <v>1375</v>
      </c>
      <c r="B84" s="334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289525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1448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03" t="s">
        <v>2128</v>
      </c>
      <c r="H90" s="3404"/>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1" t="s">
        <v>1422</v>
      </c>
      <c r="F92" s="3322"/>
      <c r="G92" s="3322"/>
      <c r="H92" s="3331"/>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1448</v>
      </c>
      <c r="D93" s="2363">
        <f>'数据-取费表'!B43</f>
        <v>5.000000000000001E-3</v>
      </c>
      <c r="E93" s="3321" t="s">
        <v>1406</v>
      </c>
      <c r="F93" s="3322"/>
      <c r="G93" s="3322"/>
      <c r="H93" s="333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2" t="s">
        <v>1426</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288077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198.94820441988949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172339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5" t="s">
        <v>1428</v>
      </c>
      <c r="B100" s="3306"/>
      <c r="C100" s="3306"/>
      <c r="D100" s="3323"/>
      <c r="E100" s="3306" t="s">
        <v>1429</v>
      </c>
      <c r="F100" s="3306"/>
      <c r="G100" s="3306"/>
      <c r="H100" s="3323"/>
      <c r="I100" s="121"/>
    </row>
    <row r="101" spans="1:35" ht="18.75" customHeight="1">
      <c r="A101" s="3384" t="s">
        <v>1430</v>
      </c>
      <c r="B101" s="3385"/>
      <c r="C101" s="2371" t="str">
        <f>C4</f>
        <v>成本法</v>
      </c>
      <c r="D101" s="2372" t="str">
        <f>D4</f>
        <v>假设开发法</v>
      </c>
      <c r="E101" s="3398" t="s">
        <v>1431</v>
      </c>
      <c r="F101" s="3355"/>
      <c r="G101" s="1687" t="s">
        <v>1432</v>
      </c>
      <c r="H101" s="2381">
        <f ca="1">H118</f>
        <v>304001</v>
      </c>
      <c r="I101" s="121"/>
    </row>
    <row r="102" spans="1:35" ht="18.75" customHeight="1">
      <c r="A102" s="3357" t="s">
        <v>1433</v>
      </c>
      <c r="B102" s="2370" t="s">
        <v>1432</v>
      </c>
      <c r="C102" s="2371">
        <f ca="1">IF(D32="楼面单价",ROUND(C19,0),C19)</f>
        <v>303792</v>
      </c>
      <c r="D102" s="2372">
        <f ca="1">IF(D32="楼面单价",ROUND(D19,0),D19)</f>
        <v>304210</v>
      </c>
      <c r="E102" s="3398"/>
      <c r="F102" s="3355"/>
      <c r="G102" s="1687" t="s">
        <v>1434</v>
      </c>
      <c r="H102" s="2341">
        <f ca="1">I118</f>
        <v>15519</v>
      </c>
      <c r="I102" s="121"/>
    </row>
    <row r="103" spans="1:35" ht="42.75" customHeight="1">
      <c r="A103" s="3357"/>
      <c r="B103" s="2370" t="s">
        <v>1434</v>
      </c>
      <c r="C103" s="2373">
        <f ca="1">C20</f>
        <v>15508</v>
      </c>
      <c r="D103" s="2374">
        <f ca="1">D20</f>
        <v>15530</v>
      </c>
      <c r="E103" s="3392" t="s">
        <v>1435</v>
      </c>
      <c r="F103" s="3393"/>
      <c r="G103" s="1688" t="s">
        <v>1436</v>
      </c>
      <c r="H103" s="2381">
        <f>IF(D36="正常操作",H104+H105+H106,H105+H106)</f>
        <v>0</v>
      </c>
      <c r="I103" s="121"/>
    </row>
    <row r="104" spans="1:35" ht="18.75" customHeight="1">
      <c r="A104" s="3357" t="s">
        <v>1437</v>
      </c>
      <c r="B104" s="2375" t="s">
        <v>1432</v>
      </c>
      <c r="C104" s="2376">
        <f ca="1">H118</f>
        <v>304001</v>
      </c>
      <c r="D104" s="2377"/>
      <c r="E104" s="1555" t="s">
        <v>1438</v>
      </c>
      <c r="F104" s="1548"/>
      <c r="G104" s="1688" t="s">
        <v>1436</v>
      </c>
      <c r="H104" s="2382">
        <f>IF(D36="同一抵押权人同一抵押物续贷",C36&amp;"（续贷，未扣减，详见特别提示）",C36)</f>
        <v>0</v>
      </c>
      <c r="I104" s="121"/>
    </row>
    <row r="105" spans="1:35" ht="18.75" customHeight="1" thickBot="1">
      <c r="A105" s="3358"/>
      <c r="B105" s="2378" t="s">
        <v>1434</v>
      </c>
      <c r="C105" s="2379">
        <f ca="1">I118</f>
        <v>15519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4" t="str">
        <f>IF(项目基本情况!E8="已注销","——","3.房地产抵押价值")</f>
        <v>3.房地产抵押价值</v>
      </c>
      <c r="F107" s="3355"/>
      <c r="G107" s="1687" t="s">
        <v>1432</v>
      </c>
      <c r="H107" s="2381">
        <f ca="1">IF(E107="——","——",H101-H103)</f>
        <v>304001</v>
      </c>
      <c r="I107" s="121"/>
    </row>
    <row r="108" spans="1:35" ht="18.75" customHeight="1">
      <c r="A108" s="121"/>
      <c r="B108" s="121"/>
      <c r="C108" s="121"/>
      <c r="D108" s="121"/>
      <c r="E108" s="3354"/>
      <c r="F108" s="3355"/>
      <c r="G108" s="1687" t="s">
        <v>1434</v>
      </c>
      <c r="H108" s="2341">
        <f ca="1">IF(H107=H101,H102,ROUND(H107*10000/'数据-汇总表'!E3,0))</f>
        <v>15519</v>
      </c>
      <c r="I108" s="121"/>
    </row>
    <row r="109" spans="1:35" ht="18.75" customHeight="1">
      <c r="A109" s="121"/>
      <c r="B109" s="121"/>
      <c r="C109" s="121"/>
      <c r="D109" s="121"/>
      <c r="E109" s="3354" t="str">
        <f>IF(项目基本情况!E8="已注销及未注销","4.抵押担保权已注销时的房地产抵押价值",IF(项目基本情况!E8="已注销","3.抵押担保权已注销时的房地产抵押价值","——"))</f>
        <v>——</v>
      </c>
      <c r="F109" s="3355"/>
      <c r="G109" s="1687" t="s">
        <v>1432</v>
      </c>
      <c r="H109" s="2384" t="str">
        <f>IF(E109="——","——",H101-H105-H106)</f>
        <v>——</v>
      </c>
      <c r="I109" s="121"/>
    </row>
    <row r="110" spans="1:35" ht="18.75" customHeight="1">
      <c r="A110" s="121"/>
      <c r="B110" s="121"/>
      <c r="C110" s="121"/>
      <c r="D110" s="121"/>
      <c r="E110" s="3354"/>
      <c r="F110" s="3355"/>
      <c r="G110" s="1687" t="s">
        <v>1434</v>
      </c>
      <c r="H110" s="2341" t="str">
        <f>IF(H109="——","——",ROUND(H109*10000/'数据-汇总表'!E3,0))</f>
        <v>——</v>
      </c>
      <c r="I110" s="121"/>
    </row>
    <row r="111" spans="1:35" ht="18.75" customHeight="1">
      <c r="A111" s="121"/>
      <c r="B111" s="121"/>
      <c r="C111" s="121"/>
      <c r="D111" s="121"/>
      <c r="E111" s="3386" t="str">
        <f>IF(项目基本情况!E9="抵押净值",IF(OR(项目基本情况!E8="已注销",项目基本情况!E8="房地产抵押价值"),"4.抵押净值","5.抵押净值"),"——")</f>
        <v>——</v>
      </c>
      <c r="F111" s="3356"/>
      <c r="G111" s="1687" t="s">
        <v>1432</v>
      </c>
      <c r="H111" s="2381" t="str">
        <f>IF(E111="——","——",N59)</f>
        <v>——</v>
      </c>
      <c r="I111" s="121"/>
    </row>
    <row r="112" spans="1:35" ht="18.75" customHeight="1" thickBot="1">
      <c r="A112" s="121"/>
      <c r="B112" s="121"/>
      <c r="C112" s="121"/>
      <c r="D112" s="121"/>
      <c r="E112" s="3387"/>
      <c r="F112" s="3388"/>
      <c r="G112" s="1690" t="s">
        <v>1434</v>
      </c>
      <c r="H112" s="2385" t="str">
        <f>IF(E111="——","——",N61)</f>
        <v>——</v>
      </c>
      <c r="I112" s="121"/>
    </row>
    <row r="113" spans="1:27" ht="18.75" customHeight="1">
      <c r="A113" s="121"/>
      <c r="B113" s="121"/>
      <c r="C113" s="121"/>
      <c r="D113" s="121"/>
      <c r="E113" s="3359" t="s">
        <v>1440</v>
      </c>
      <c r="F113" s="3359"/>
      <c r="G113" s="3359"/>
      <c r="H113" s="3359"/>
      <c r="I113" s="121"/>
    </row>
    <row r="114" spans="1:27" ht="3.75" customHeight="1">
      <c r="A114" s="646"/>
      <c r="B114" s="646"/>
      <c r="C114" s="646"/>
      <c r="D114" s="646"/>
      <c r="E114" s="1671"/>
      <c r="F114" s="1671"/>
      <c r="G114" s="1671"/>
      <c r="H114" s="1671"/>
      <c r="I114" s="646"/>
    </row>
    <row r="115" spans="1:27" ht="18.75" customHeight="1">
      <c r="A115" s="3369" t="s">
        <v>1442</v>
      </c>
      <c r="B115" s="3370"/>
      <c r="C115" s="3370"/>
      <c r="D115" s="3370"/>
      <c r="E115" s="3370"/>
      <c r="F115" s="3370"/>
      <c r="G115" s="3370"/>
      <c r="H115" s="3370"/>
      <c r="I115" s="3371"/>
    </row>
    <row r="116" spans="1:27" ht="27" customHeight="1">
      <c r="A116" s="3325" t="s">
        <v>1443</v>
      </c>
      <c r="B116" s="3360" t="s">
        <v>1444</v>
      </c>
      <c r="C116" s="3360" t="s">
        <v>1445</v>
      </c>
      <c r="D116" s="3373" t="s">
        <v>1446</v>
      </c>
      <c r="E116" s="3374"/>
      <c r="F116" s="3368" t="s">
        <v>1447</v>
      </c>
      <c r="G116" s="3368"/>
      <c r="H116" s="3325" t="s">
        <v>1448</v>
      </c>
      <c r="I116" s="3325"/>
    </row>
    <row r="117" spans="1:27" ht="18.75" customHeight="1">
      <c r="A117" s="3325"/>
      <c r="B117" s="3361"/>
      <c r="C117" s="336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195888.83</v>
      </c>
      <c r="C118" s="2150">
        <f>M19</f>
        <v>61673.46</v>
      </c>
      <c r="D118" s="2150">
        <f ca="1">ROUND(IF(D32="总价",C34,E118*B118/10000),0)</f>
        <v>231345</v>
      </c>
      <c r="E118" s="2150">
        <f ca="1">ROUND(IF(C33="自定义",IF(D32="楼面单价",C34,D118*10000/B118),I118-G118),0)</f>
        <v>11810</v>
      </c>
      <c r="F118" s="2150">
        <f ca="1">ROUND(IF(D32="总价",C35,G118*B118/10000),0)</f>
        <v>72656</v>
      </c>
      <c r="G118" s="2150">
        <f ca="1">ROUND(IF(D32="楼面单价",C35,F118*10000/B118),0)</f>
        <v>3709</v>
      </c>
      <c r="H118" s="2150">
        <f ca="1">ROUND(IF(D32="总价",C32,I118*B118/10000),0)</f>
        <v>304001</v>
      </c>
      <c r="I118" s="2150">
        <f ca="1">ROUND(IF(D32="楼面单价",C32,H118*10000/B118),0)</f>
        <v>15519</v>
      </c>
    </row>
    <row r="119" spans="1:27" ht="18.75" customHeight="1">
      <c r="A119" s="3325" t="s">
        <v>1452</v>
      </c>
      <c r="B119" s="3325"/>
      <c r="C119" s="3325"/>
      <c r="D119" s="3365" t="str">
        <f ca="1">NUMBERSTRING(INT(D118*10000),2)&amp;"元整"</f>
        <v>贰拾叁亿壹仟叁佰肆拾伍万元整</v>
      </c>
      <c r="E119" s="3367"/>
      <c r="F119" s="3365" t="str">
        <f ca="1">NUMBERSTRING(INT(F118*10000),2)&amp;"元整"</f>
        <v>柒亿贰仟陆佰伍拾陆万元整</v>
      </c>
      <c r="G119" s="3367"/>
      <c r="H119" s="3365" t="str">
        <f ca="1">NUMBERSTRING(INT(H118*10000),2)&amp;"元整"</f>
        <v>叁拾亿肆仟零壹万元整</v>
      </c>
      <c r="I119" s="3367"/>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5" t="s">
        <v>1452</v>
      </c>
      <c r="B121" s="3366"/>
      <c r="C121" s="3367"/>
      <c r="D121" s="3365" t="str">
        <f>IF(D120=0,"零元整",NUMBERSTRING(INT(D120*10000),2)&amp;"元整")</f>
        <v>零元整</v>
      </c>
      <c r="E121" s="3366"/>
      <c r="F121" s="3366"/>
      <c r="G121" s="3366"/>
      <c r="H121" s="3366"/>
      <c r="I121" s="3367"/>
      <c r="AA121" s="684"/>
    </row>
    <row r="122" spans="1:27" ht="18.75" customHeight="1">
      <c r="A122" s="3356" t="str">
        <f>IF(项目基本情况!B9="房地产市场价值","",MID(E107,3,LEN(E107)-2))</f>
        <v>房地产抵押价值</v>
      </c>
      <c r="B122" s="3356"/>
      <c r="C122" s="3356"/>
      <c r="D122" s="3389">
        <f ca="1">H107</f>
        <v>304001</v>
      </c>
      <c r="E122" s="3390"/>
      <c r="F122" s="3390"/>
      <c r="G122" s="3390"/>
      <c r="H122" s="3390"/>
      <c r="I122" s="3391"/>
      <c r="AA122" s="684"/>
    </row>
    <row r="123" spans="1:27" ht="18.75" customHeight="1">
      <c r="A123" s="3325" t="s">
        <v>1452</v>
      </c>
      <c r="B123" s="3325"/>
      <c r="C123" s="3325"/>
      <c r="D123" s="3365" t="str">
        <f ca="1">NUMBERSTRING(INT(D122*10000),2)&amp;"元整"</f>
        <v>叁拾亿肆仟零壹万元整</v>
      </c>
      <c r="E123" s="3366"/>
      <c r="F123" s="3366"/>
      <c r="G123" s="3366"/>
      <c r="H123" s="3366"/>
      <c r="I123" s="3367"/>
      <c r="AA123" s="684"/>
    </row>
    <row r="124" spans="1:27" ht="18.75" customHeight="1">
      <c r="A124" s="3356" t="str">
        <f>IF(项目基本情况!B9="房地产市场价值","",MID(E109,3,LEN(E109)-2))</f>
        <v/>
      </c>
      <c r="B124" s="3356"/>
      <c r="C124" s="3356"/>
      <c r="D124" s="3389" t="str">
        <f>H109</f>
        <v>——</v>
      </c>
      <c r="E124" s="3390"/>
      <c r="F124" s="3390"/>
      <c r="G124" s="3390"/>
      <c r="H124" s="3390"/>
      <c r="I124" s="3391"/>
      <c r="AA124" s="684"/>
    </row>
    <row r="125" spans="1:27" ht="18.75" customHeight="1">
      <c r="A125" s="3325" t="s">
        <v>1452</v>
      </c>
      <c r="B125" s="3325"/>
      <c r="C125" s="3325"/>
      <c r="D125" s="3365" t="e">
        <f>NUMBERSTRING(INT(D124*10000),2)&amp;"元整"</f>
        <v>#VALUE!</v>
      </c>
      <c r="E125" s="3366"/>
      <c r="F125" s="3366"/>
      <c r="G125" s="3366"/>
      <c r="H125" s="3366"/>
      <c r="I125" s="3367"/>
      <c r="AA125" s="684"/>
    </row>
    <row r="126" spans="1:27" ht="18.75" customHeight="1">
      <c r="A126" s="3356" t="str">
        <f>IF(项目基本情况!B9="房地产市场价值","",MID(E111,3,LEN(E111)-2))</f>
        <v/>
      </c>
      <c r="B126" s="3356"/>
      <c r="C126" s="3356"/>
      <c r="D126" s="3389" t="str">
        <f>H111</f>
        <v>——</v>
      </c>
      <c r="E126" s="3390"/>
      <c r="F126" s="3390"/>
      <c r="G126" s="3390"/>
      <c r="H126" s="3390"/>
      <c r="I126" s="3391"/>
      <c r="AA126" s="684"/>
    </row>
    <row r="127" spans="1:27" ht="18.75" customHeight="1">
      <c r="A127" s="3325" t="s">
        <v>1452</v>
      </c>
      <c r="B127" s="3325"/>
      <c r="C127" s="3325"/>
      <c r="D127" s="3365" t="e">
        <f>NUMBERSTRING(INT(D126*10000),2)&amp;"元整"</f>
        <v>#VALUE!</v>
      </c>
      <c r="E127" s="3366"/>
      <c r="F127" s="3366"/>
      <c r="G127" s="3366"/>
      <c r="H127" s="3366"/>
      <c r="I127" s="3367"/>
      <c r="AA127" s="684"/>
    </row>
    <row r="128" spans="1:27" ht="21.75" customHeight="1">
      <c r="A128" s="3372" t="s">
        <v>1453</v>
      </c>
      <c r="B128" s="3372"/>
      <c r="C128" s="3372"/>
      <c r="D128" s="3372"/>
      <c r="E128" s="3372"/>
      <c r="F128" s="3372"/>
      <c r="G128" s="3372"/>
      <c r="H128" s="3372"/>
      <c r="I128" s="337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4" t="str">
        <f>项目基本情况!B1</f>
        <v>北京市房地产抵押价值预评估</v>
      </c>
      <c r="C37" s="3204"/>
      <c r="D37" s="3204"/>
      <c r="E37" s="3204"/>
      <c r="F37" s="3204"/>
      <c r="G37" s="3204"/>
      <c r="H37" s="3204"/>
      <c r="I37" s="32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303792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15508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191163</v>
      </c>
      <c r="D5" s="203" t="s">
        <v>1469</v>
      </c>
      <c r="E5" s="204" t="s">
        <v>1470</v>
      </c>
      <c r="F5" s="204" t="s">
        <v>1471</v>
      </c>
      <c r="G5" s="205"/>
    </row>
    <row r="6" spans="1:9" s="206" customFormat="1" ht="13.5" customHeight="1">
      <c r="A6" s="732" t="s">
        <v>1472</v>
      </c>
      <c r="B6" s="207" t="s">
        <v>1473</v>
      </c>
      <c r="C6" s="208">
        <f>'土地比较法-住宅、综合'!B2</f>
        <v>185505</v>
      </c>
      <c r="D6" s="209"/>
      <c r="E6" s="210"/>
      <c r="F6" s="210"/>
      <c r="G6" s="211"/>
    </row>
    <row r="7" spans="1:9" s="206" customFormat="1" ht="13.5" customHeight="1">
      <c r="A7" s="732" t="s">
        <v>1474</v>
      </c>
      <c r="B7" s="207" t="s">
        <v>1475</v>
      </c>
      <c r="C7" s="212">
        <f>ROUND(C6*F7,0)</f>
        <v>5658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4996</v>
      </c>
    </row>
    <row r="9" spans="1:9" s="206" customFormat="1" ht="13.5" customHeight="1">
      <c r="A9" s="733" t="s">
        <v>355</v>
      </c>
      <c r="B9" s="216" t="s">
        <v>1478</v>
      </c>
      <c r="C9" s="217">
        <f ca="1">ROUND(D9*E9/10000,0)</f>
        <v>2248</v>
      </c>
      <c r="D9" s="795">
        <f ca="1">IF(B1="",'数据-汇总表'!E5,IF(INDIRECT("'数据-取费表'!c"&amp;$G$1)="住宅",INDIRECT("'数据-取费表'!k"&amp;$G$1),0))</f>
        <v>140502.72</v>
      </c>
      <c r="E9" s="217">
        <f>'数据-取费表'!B27</f>
        <v>160</v>
      </c>
      <c r="F9" s="213"/>
      <c r="G9" s="1715" t="s">
        <v>4997</v>
      </c>
      <c r="H9" s="1070"/>
      <c r="I9" s="1716" t="s">
        <v>1479</v>
      </c>
    </row>
    <row r="10" spans="1:9" s="206" customFormat="1" ht="13.5" customHeight="1">
      <c r="A10" s="733" t="s">
        <v>356</v>
      </c>
      <c r="B10" s="216" t="s">
        <v>1480</v>
      </c>
      <c r="C10" s="217">
        <f ca="1">ROUND(D10*E10/10000,0)</f>
        <v>1108</v>
      </c>
      <c r="D10" s="795">
        <f ca="1">IF(B1="",'数据-汇总表'!E6,IF(INDIRECT("'数据-取费表'!c"&amp;$G$1)="住宅",INDIRECT("'数据-取费表'!s"&amp;$G$1),INDIRECT("'数据-取费表'!k"&amp;$G$1)+INDIRECT("'数据-取费表'!s"&amp;$G$1)))</f>
        <v>55386.109999999986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195888.83</v>
      </c>
      <c r="E19" s="203">
        <f>'数据-取费表'!B31</f>
        <v>150</v>
      </c>
      <c r="F19" s="223"/>
      <c r="G19" s="1714" t="s">
        <v>4998</v>
      </c>
    </row>
    <row r="20" spans="1:7" s="206" customFormat="1" ht="13.5" customHeight="1">
      <c r="A20" s="247" t="s">
        <v>1493</v>
      </c>
      <c r="B20" s="202" t="s">
        <v>1494</v>
      </c>
      <c r="C20" s="224">
        <f>ROUND((C5+C19)*F20,0)</f>
        <v>3823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9488</v>
      </c>
      <c r="D22" s="227">
        <f ca="1">C26</f>
        <v>5.0000000000000001E-4</v>
      </c>
      <c r="E22" s="228" t="s">
        <v>1498</v>
      </c>
      <c r="F22" s="229">
        <f ca="1">'数据-取费表'!B40</f>
        <v>3.2500000000000001E-2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9395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93</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9749</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9749</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231317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58467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50823</v>
      </c>
      <c r="D34" s="209"/>
      <c r="E34" s="212"/>
      <c r="F34" s="249">
        <f ca="1">IF('数据-取费表'!B24=0,1,IF(B1="",'数据-取费表'!N16,INDIRECT("'数据-取费表'!n"&amp;$G$1)))</f>
        <v>0.55000000000000004</v>
      </c>
      <c r="G34" s="211" t="s">
        <v>1526</v>
      </c>
    </row>
    <row r="35" spans="1:7" ht="13.5" customHeight="1">
      <c r="A35" s="734" t="s">
        <v>351</v>
      </c>
      <c r="B35" s="207" t="s">
        <v>1527</v>
      </c>
      <c r="C35" s="212">
        <f ca="1">ROUND(C34*F35,0)</f>
        <v>2541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1932</v>
      </c>
      <c r="D36" s="212"/>
      <c r="E36" s="212"/>
      <c r="F36" s="251">
        <f>'数据-取费表'!B34</f>
        <v>0.05</v>
      </c>
      <c r="G36" s="252" t="s">
        <v>1530</v>
      </c>
    </row>
    <row r="37" spans="1:7" s="250" customFormat="1" ht="13.5" customHeight="1">
      <c r="A37" s="734" t="s">
        <v>353</v>
      </c>
      <c r="B37" s="207" t="s">
        <v>1531</v>
      </c>
      <c r="C37" s="241">
        <f ca="1">ROUND(E37*D37*F34/10000,0)</f>
        <v>2155</v>
      </c>
      <c r="D37" s="209">
        <f ca="1">D19</f>
        <v>195888.83</v>
      </c>
      <c r="E37" s="241">
        <f>'数据-取费表'!B35</f>
        <v>200</v>
      </c>
      <c r="F37" s="251"/>
      <c r="G37" s="253" t="s">
        <v>1532</v>
      </c>
    </row>
    <row r="38" spans="1:7" ht="13.5" customHeight="1">
      <c r="A38" s="734" t="s">
        <v>354</v>
      </c>
      <c r="B38" s="207" t="s">
        <v>1533</v>
      </c>
      <c r="C38" s="212">
        <f ca="1">ROUND(C34*F38,0)</f>
        <v>1016</v>
      </c>
      <c r="D38" s="212"/>
      <c r="E38" s="212"/>
      <c r="F38" s="251">
        <f>'数据-取费表'!B36</f>
        <v>0.02</v>
      </c>
      <c r="G38" s="211" t="s">
        <v>1528</v>
      </c>
    </row>
    <row r="39" spans="1:7" s="206" customFormat="1" ht="13.5" customHeight="1">
      <c r="A39" s="247" t="s">
        <v>1534</v>
      </c>
      <c r="B39" s="202" t="s">
        <v>1535</v>
      </c>
      <c r="C39" s="224">
        <f ca="1">ROUND(C33*F20,0)</f>
        <v>1169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1447</v>
      </c>
      <c r="D41" s="227">
        <f ca="1">C44</f>
        <v>5.0000000000000001E-4</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1419</v>
      </c>
      <c r="D42" s="230"/>
      <c r="E42" s="230"/>
      <c r="F42" s="231"/>
      <c r="G42" s="3405" t="s">
        <v>1544</v>
      </c>
    </row>
    <row r="43" spans="1:7" ht="13.5" customHeight="1">
      <c r="A43" s="734" t="s">
        <v>347</v>
      </c>
      <c r="B43" s="207" t="s">
        <v>1545</v>
      </c>
      <c r="C43" s="230">
        <f ca="1">ROUND(IF('数据-取费表'!B22&lt;=1,C39*F22*'数据-取费表'!B21/2,C39*(POWER((1+F22),'数据-取费表'!B21/2)-1)),0)</f>
        <v>28</v>
      </c>
      <c r="D43" s="230"/>
      <c r="E43" s="230"/>
      <c r="F43" s="231"/>
      <c r="G43" s="3406"/>
    </row>
    <row r="44" spans="1:7" ht="13.5" customHeight="1">
      <c r="A44" s="734" t="s">
        <v>348</v>
      </c>
      <c r="B44" s="207" t="s">
        <v>1546</v>
      </c>
      <c r="C44" s="230">
        <f ca="1">ROUND(IF('数据-取费表'!B22&lt;=1,C40*F22*'数据-取费表'!B21/2,C40*(POWER((1+F22),'数据-取费表'!B21/2)-1)),4)</f>
        <v>5.0000000000000001E-4</v>
      </c>
      <c r="D44" s="230"/>
      <c r="E44" s="230"/>
      <c r="F44" s="231"/>
      <c r="G44" s="3407"/>
    </row>
    <row r="45" spans="1:7" s="206" customFormat="1" ht="13.5" customHeight="1">
      <c r="A45" s="247" t="s">
        <v>1547</v>
      </c>
      <c r="B45" s="236" t="s">
        <v>1513</v>
      </c>
      <c r="C45" s="237">
        <f ca="1">C46</f>
        <v>5964</v>
      </c>
      <c r="D45" s="227">
        <f ca="1">C47</f>
        <v>2E-3</v>
      </c>
      <c r="E45" s="228" t="s">
        <v>1539</v>
      </c>
      <c r="F45" s="238">
        <f ca="1">F27</f>
        <v>0.1</v>
      </c>
      <c r="G45" s="239" t="s">
        <v>1548</v>
      </c>
    </row>
    <row r="46" spans="1:7" s="206" customFormat="1" ht="13.5" customHeight="1">
      <c r="A46" s="734" t="s">
        <v>346</v>
      </c>
      <c r="B46" s="240" t="s">
        <v>1549</v>
      </c>
      <c r="C46" s="241">
        <f ca="1">ROUND((C33+C39)*F27,0)</f>
        <v>5964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72475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72475</v>
      </c>
      <c r="D51" s="224"/>
      <c r="E51" s="224"/>
      <c r="F51" s="256"/>
      <c r="G51" s="226" t="s">
        <v>1560</v>
      </c>
    </row>
    <row r="52" spans="1:7" s="200" customFormat="1" ht="16.5" thickBot="1">
      <c r="A52" s="257" t="s">
        <v>1561</v>
      </c>
      <c r="B52" s="258"/>
      <c r="C52" s="259">
        <f ca="1">C31+C51</f>
        <v>303792</v>
      </c>
      <c r="D52" s="258"/>
      <c r="E52" s="258"/>
      <c r="F52" s="258"/>
      <c r="G52" s="260"/>
    </row>
    <row r="55" spans="1:7" ht="15">
      <c r="B55" s="262" t="s">
        <v>1562</v>
      </c>
      <c r="C55" s="263"/>
    </row>
    <row r="56" spans="1:7">
      <c r="B56" s="265" t="s">
        <v>802</v>
      </c>
      <c r="C56" s="267">
        <f ca="1">1-C57</f>
        <v>0.76100000000000001</v>
      </c>
    </row>
    <row r="57" spans="1:7">
      <c r="B57" s="265" t="s">
        <v>803</v>
      </c>
      <c r="C57" s="266">
        <f ca="1">ROUND(C51/C52,3)</f>
        <v>0.23899999999999999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143093.68700000001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7305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33557657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33557657</v>
      </c>
      <c r="D8" s="214"/>
      <c r="E8" s="212"/>
      <c r="F8" s="213"/>
      <c r="G8" s="1714"/>
    </row>
    <row r="9" spans="1:8" s="206" customFormat="1" ht="13.5" customHeight="1">
      <c r="A9" s="733" t="s">
        <v>355</v>
      </c>
      <c r="B9" s="216" t="s">
        <v>1478</v>
      </c>
      <c r="C9" s="217">
        <f ca="1">ROUND(D9*E9,0)</f>
        <v>22480435</v>
      </c>
      <c r="D9" s="795">
        <f ca="1">IF(B1="",'数据-汇总表'!E5,IF(INDIRECT("'数据-取费表'!c"&amp;$G$1)="住宅",INDIRECT("'数据-取费表'!k"&amp;$G$1),0))</f>
        <v>140502.72</v>
      </c>
      <c r="E9" s="217">
        <f>'数据-取费表'!B27</f>
        <v>160</v>
      </c>
      <c r="F9" s="213"/>
      <c r="G9" s="218"/>
    </row>
    <row r="10" spans="1:8" s="206" customFormat="1" ht="13.5" customHeight="1">
      <c r="A10" s="733" t="s">
        <v>356</v>
      </c>
      <c r="B10" s="216" t="s">
        <v>1480</v>
      </c>
      <c r="C10" s="217">
        <f ca="1">ROUND(D10*E10,0)</f>
        <v>11077222</v>
      </c>
      <c r="D10" s="795">
        <f ca="1">IF(B1="",'数据-汇总表'!E6,IF(INDIRECT("'数据-取费表'!c"&amp;$G$1)="住宅",INDIRECT("'数据-取费表'!s"&amp;$G$1),INDIRECT("'数据-取费表'!k"&amp;$G$1)+INDIRECT("'数据-取费表'!s"&amp;$G$1)))</f>
        <v>55386.109999999986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29383325</v>
      </c>
      <c r="D19" s="204">
        <f ca="1">D9+D10</f>
        <v>195888.83</v>
      </c>
      <c r="E19" s="203">
        <f>'数据-取费表'!B31</f>
        <v>150</v>
      </c>
      <c r="F19" s="223"/>
      <c r="G19" s="1714"/>
    </row>
    <row r="20" spans="1:7" s="206" customFormat="1" ht="13.5" customHeight="1">
      <c r="A20" s="247" t="s">
        <v>1574</v>
      </c>
      <c r="B20" s="202" t="s">
        <v>1575</v>
      </c>
      <c r="C20" s="224">
        <f ca="1">ROUND((C5+C19)*F20,0)</f>
        <v>1258820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6400213</v>
      </c>
      <c r="D22" s="227">
        <f ca="1">C26</f>
        <v>1E-3</v>
      </c>
      <c r="E22" s="228" t="s">
        <v>1579</v>
      </c>
      <c r="F22" s="229">
        <f ca="1">'数据-取费表'!B40</f>
        <v>3.2500000000000001E-2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3379359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2958991</v>
      </c>
      <c r="D24" s="230"/>
      <c r="E24" s="230"/>
      <c r="F24" s="231"/>
      <c r="G24" s="232" t="s">
        <v>1586</v>
      </c>
    </row>
    <row r="25" spans="1:7" s="206" customFormat="1" ht="24">
      <c r="A25" s="734" t="s">
        <v>1476</v>
      </c>
      <c r="B25" s="207" t="s">
        <v>1587</v>
      </c>
      <c r="C25" s="230">
        <f ca="1">ROUND(IF('数据-取费表'!B22&lt;=1,C20*F22*'数据-取费表'!B22/2,C20*(POWER((1+F22),'数据-取费表'!B22/2)-1)),0)</f>
        <v>61863</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6419980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6419980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83300881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1063045549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924058040</v>
      </c>
      <c r="D34" s="209"/>
      <c r="E34" s="212"/>
      <c r="F34" s="249"/>
      <c r="G34" s="211"/>
    </row>
    <row r="35" spans="1:7" ht="13.5" customHeight="1">
      <c r="A35" s="734" t="s">
        <v>351</v>
      </c>
      <c r="B35" s="207" t="s">
        <v>1527</v>
      </c>
      <c r="C35" s="212">
        <f ca="1">ROUND(C34*F35,0)</f>
        <v>46202902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35125680</v>
      </c>
      <c r="D36" s="212"/>
      <c r="E36" s="212"/>
      <c r="F36" s="251">
        <f>'数据-取费表'!B34</f>
        <v>0.05</v>
      </c>
      <c r="G36" s="252" t="s">
        <v>1530</v>
      </c>
    </row>
    <row r="37" spans="1:7" s="250" customFormat="1" ht="13.5" customHeight="1">
      <c r="A37" s="734" t="s">
        <v>353</v>
      </c>
      <c r="B37" s="207" t="s">
        <v>1531</v>
      </c>
      <c r="C37" s="241">
        <f ca="1">ROUND(E37*D37,0)</f>
        <v>39177766</v>
      </c>
      <c r="D37" s="209">
        <f ca="1">D19</f>
        <v>195888.83</v>
      </c>
      <c r="E37" s="241">
        <f>'数据-取费表'!B35</f>
        <v>200</v>
      </c>
      <c r="F37" s="251"/>
      <c r="G37" s="253"/>
    </row>
    <row r="38" spans="1:7" ht="13.5" customHeight="1">
      <c r="A38" s="734" t="s">
        <v>354</v>
      </c>
      <c r="B38" s="207" t="s">
        <v>1533</v>
      </c>
      <c r="C38" s="212">
        <f ca="1">ROUND(C34*F38,0)</f>
        <v>18481161</v>
      </c>
      <c r="D38" s="212"/>
      <c r="E38" s="212"/>
      <c r="F38" s="251">
        <f>'数据-取费表'!B36</f>
        <v>0.02</v>
      </c>
      <c r="G38" s="211" t="s">
        <v>1528</v>
      </c>
    </row>
    <row r="39" spans="1:7" s="206" customFormat="1" ht="13.5" customHeight="1">
      <c r="A39" s="247" t="s">
        <v>1534</v>
      </c>
      <c r="B39" s="202" t="s">
        <v>1535</v>
      </c>
      <c r="C39" s="224">
        <f ca="1">ROUND(C33*F20,0)</f>
        <v>21260911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53287129</v>
      </c>
      <c r="D41" s="227">
        <f ca="1">C44</f>
        <v>1E-3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52242283</v>
      </c>
      <c r="D42" s="230"/>
      <c r="E42" s="230"/>
      <c r="F42" s="231"/>
      <c r="G42" s="3405" t="s">
        <v>1591</v>
      </c>
    </row>
    <row r="43" spans="1:7" ht="13.5" customHeight="1">
      <c r="A43" s="734" t="s">
        <v>347</v>
      </c>
      <c r="B43" s="207" t="s">
        <v>1545</v>
      </c>
      <c r="C43" s="230">
        <f ca="1">ROUND(IF('数据-取费表'!B22&lt;=1,C39*F22*'数据-取费表'!B20/2,C39*(POWER((1+F22),'数据-取费表'!B20/2)-1)),0)</f>
        <v>1044846</v>
      </c>
      <c r="D43" s="230"/>
      <c r="E43" s="230"/>
      <c r="F43" s="231"/>
      <c r="G43" s="3406"/>
    </row>
    <row r="44" spans="1:7" ht="13.5" customHeight="1">
      <c r="A44" s="734" t="s">
        <v>348</v>
      </c>
      <c r="B44" s="207" t="s">
        <v>1546</v>
      </c>
      <c r="C44" s="230">
        <f ca="1">ROUND(IF('数据-取费表'!B22&lt;=1,C40*F22*'数据-取费表'!B20/2,C40*(POWER((1+F22),'数据-取费表'!B20/2)-1)),4)</f>
        <v>1E-3</v>
      </c>
      <c r="D44" s="230"/>
      <c r="E44" s="230"/>
      <c r="F44" s="231"/>
      <c r="G44" s="3407"/>
    </row>
    <row r="45" spans="1:7" s="206" customFormat="1" ht="13.5" customHeight="1">
      <c r="A45" s="247" t="s">
        <v>1547</v>
      </c>
      <c r="B45" s="236" t="s">
        <v>1513</v>
      </c>
      <c r="C45" s="237">
        <f ca="1">C46</f>
        <v>108430646</v>
      </c>
      <c r="D45" s="227">
        <f ca="1">C47</f>
        <v>2E-3</v>
      </c>
      <c r="E45" s="228" t="s">
        <v>1539</v>
      </c>
      <c r="F45" s="238">
        <f ca="1">F27</f>
        <v>0.1</v>
      </c>
      <c r="G45" s="239" t="s">
        <v>1548</v>
      </c>
    </row>
    <row r="46" spans="1:7" s="206" customFormat="1" ht="13.5" customHeight="1">
      <c r="A46" s="734" t="s">
        <v>346</v>
      </c>
      <c r="B46" s="240" t="s">
        <v>1549</v>
      </c>
      <c r="C46" s="241">
        <f ca="1">ROUND((C33+C39)*F27,0)</f>
        <v>108430646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1347635989</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1347635989</v>
      </c>
      <c r="D51" s="224"/>
      <c r="E51" s="224"/>
      <c r="F51" s="256"/>
      <c r="G51" s="226" t="s">
        <v>1560</v>
      </c>
    </row>
    <row r="52" spans="1:7" s="200" customFormat="1" ht="16.5" thickBot="1">
      <c r="A52" s="257" t="s">
        <v>1561</v>
      </c>
      <c r="B52" s="258"/>
      <c r="C52" s="259">
        <f ca="1">C31+C51</f>
        <v>1430936870</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7" zoomScaleNormal="60" zoomScaleSheetLayoutView="100" workbookViewId="0">
      <selection activeCell="F65" sqref="F6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185505</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9470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27" t="s">
        <v>1775</v>
      </c>
      <c r="Q4" s="3428"/>
      <c r="R4" s="3433" t="s">
        <v>1771</v>
      </c>
      <c r="S4" s="3434"/>
      <c r="T4" s="3433" t="s">
        <v>1772</v>
      </c>
      <c r="U4" s="3434"/>
      <c r="V4" s="3420" t="s">
        <v>1773</v>
      </c>
      <c r="W4" s="3420"/>
      <c r="X4" s="1265"/>
      <c r="Y4" s="3433" t="s">
        <v>1775</v>
      </c>
      <c r="Z4" s="3434"/>
      <c r="AA4" s="3421" t="s">
        <v>1771</v>
      </c>
      <c r="AB4" s="3422" t="s">
        <v>1772</v>
      </c>
      <c r="AC4" s="3421" t="s">
        <v>1773</v>
      </c>
    </row>
    <row r="5" spans="1:29" ht="57.75" customHeight="1" thickBot="1">
      <c r="A5" s="348"/>
      <c r="B5" s="349"/>
      <c r="C5" s="3441" t="s">
        <v>1673</v>
      </c>
      <c r="D5" s="3442"/>
      <c r="E5" s="3448" t="str">
        <f>土地案例!A3</f>
        <v>大兴区旧宫镇YZ00-0902-0340、6002、6003(原DX05-0102-0340、6002、6003)F81 集体产业用地</v>
      </c>
      <c r="F5" s="3449"/>
      <c r="G5" s="3441" t="str">
        <f>土地案例!A4</f>
        <v>大兴区瀛海镇区级统筹集建地YZ00-0803-2019、2057地块F81集体产业用地</v>
      </c>
      <c r="H5" s="3442"/>
      <c r="I5" s="3441" t="str">
        <f>土地案例!A5</f>
        <v>大兴区瀛海镇区级统筹集建地YZ00-0803-2006、2029、2031地块F81集体产业用地</v>
      </c>
      <c r="J5" s="3442"/>
      <c r="K5" s="537"/>
      <c r="L5" s="2487"/>
      <c r="M5" s="2488"/>
      <c r="N5" s="2488"/>
      <c r="O5" s="2488"/>
      <c r="P5" s="3429"/>
      <c r="Q5" s="3430"/>
      <c r="R5" s="3435"/>
      <c r="S5" s="3436"/>
      <c r="T5" s="3435"/>
      <c r="U5" s="3436"/>
      <c r="V5" s="3420"/>
      <c r="W5" s="3420"/>
      <c r="X5" s="1265"/>
      <c r="Y5" s="3435"/>
      <c r="Z5" s="3436"/>
      <c r="AA5" s="3422"/>
      <c r="AB5" s="3422"/>
      <c r="AC5" s="3422"/>
    </row>
    <row r="6" spans="1:29" ht="15.75" hidden="1" thickBot="1">
      <c r="A6" s="350"/>
      <c r="B6" s="351"/>
      <c r="C6" s="3439" t="s">
        <v>1677</v>
      </c>
      <c r="D6" s="3440"/>
      <c r="E6" s="3446" t="s">
        <v>1677</v>
      </c>
      <c r="F6" s="3447"/>
      <c r="G6" s="3439" t="s">
        <v>1677</v>
      </c>
      <c r="H6" s="3440"/>
      <c r="I6" s="3439" t="s">
        <v>1677</v>
      </c>
      <c r="J6" s="3440"/>
      <c r="K6" s="537" t="s">
        <v>1678</v>
      </c>
      <c r="L6" s="2487"/>
      <c r="M6" s="2488"/>
      <c r="N6" s="2488"/>
      <c r="O6" s="2488"/>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f>土地案例!K3</f>
        <v>45323</v>
      </c>
      <c r="F7" s="357">
        <f>SUMIF(69:69,YEAR(E7)&amp;"-"&amp;INT((MONTH(E7)+2)/3),70:70)</f>
        <v>103.75</v>
      </c>
      <c r="G7" s="1822">
        <f>土地案例!K4</f>
        <v>45039</v>
      </c>
      <c r="H7" s="355">
        <f>SUMIF(69:69,YEAR(G7)&amp;"-"&amp;INT((MONTH(G7)+2)/3),70:70)</f>
        <v>103.83</v>
      </c>
      <c r="I7" s="1822">
        <f>土地案例!K5</f>
        <v>45040</v>
      </c>
      <c r="J7" s="355">
        <f>SUMIF(69:69,YEAR(I7)&amp;"-"&amp;INT((MONTH(I7)+2)/3),70:70)</f>
        <v>103.83</v>
      </c>
      <c r="K7" s="38"/>
      <c r="L7" s="2489"/>
      <c r="M7" s="2440"/>
      <c r="N7" s="2440"/>
      <c r="O7" s="2440"/>
      <c r="P7" s="3443" t="s">
        <v>1680</v>
      </c>
      <c r="Q7" s="3445"/>
      <c r="R7" s="664" t="s">
        <v>14</v>
      </c>
      <c r="S7" s="665">
        <f t="shared" ref="S7:S15" si="0">F7</f>
        <v>103.75</v>
      </c>
      <c r="T7" s="664" t="s">
        <v>14</v>
      </c>
      <c r="U7" s="665">
        <f t="shared" ref="U7:U15" si="1">H7</f>
        <v>103.83</v>
      </c>
      <c r="V7" s="664" t="s">
        <v>14</v>
      </c>
      <c r="W7" s="665">
        <f t="shared" ref="W7:W15" si="2">J7</f>
        <v>103.83</v>
      </c>
      <c r="X7" s="666"/>
      <c r="Y7" s="3443" t="s">
        <v>1680</v>
      </c>
      <c r="Z7" s="3444"/>
      <c r="AA7" s="50">
        <f>D7/F7</f>
        <v>0.96385542168674698</v>
      </c>
      <c r="AB7" s="50">
        <f>D7/H7</f>
        <v>0.96311278050659732</v>
      </c>
      <c r="AC7" s="50">
        <f>D7/J7</f>
        <v>0.96311278050659732</v>
      </c>
    </row>
    <row r="8" spans="1:29" s="102" customFormat="1" ht="15.75" thickBot="1">
      <c r="A8" s="352" t="s">
        <v>1681</v>
      </c>
      <c r="B8" s="353"/>
      <c r="C8" s="358" t="s">
        <v>1682</v>
      </c>
      <c r="D8" s="355">
        <v>100</v>
      </c>
      <c r="E8" s="358" t="s">
        <v>4989</v>
      </c>
      <c r="F8" s="357">
        <f>SUMIF(72:72,E8,73:73)-SUMIF(72:72,C8,73:73)+100</f>
        <v>100</v>
      </c>
      <c r="G8" s="358" t="s">
        <v>4989</v>
      </c>
      <c r="H8" s="355">
        <f>SUMIF(72:72,G8,73:73)-SUMIF(72:72,C8,73:73)+100</f>
        <v>100</v>
      </c>
      <c r="I8" s="358" t="s">
        <v>4989</v>
      </c>
      <c r="J8" s="355">
        <f>SUMIF(72:72,I8,73:73)-SUMIF(72:72,C8,73:73)+100</f>
        <v>100</v>
      </c>
      <c r="K8" s="38"/>
      <c r="L8" s="2489"/>
      <c r="M8" s="2440"/>
      <c r="N8" s="2440"/>
      <c r="O8" s="2440"/>
      <c r="P8" s="3443" t="s">
        <v>1683</v>
      </c>
      <c r="Q8" s="3444"/>
      <c r="R8" s="664" t="s">
        <v>14</v>
      </c>
      <c r="S8" s="665">
        <f t="shared" si="0"/>
        <v>100</v>
      </c>
      <c r="T8" s="664" t="s">
        <v>14</v>
      </c>
      <c r="U8" s="665">
        <f t="shared" si="1"/>
        <v>100</v>
      </c>
      <c r="V8" s="664" t="s">
        <v>14</v>
      </c>
      <c r="W8" s="665">
        <f t="shared" si="2"/>
        <v>100</v>
      </c>
      <c r="X8" s="666"/>
      <c r="Y8" s="3443" t="s">
        <v>1683</v>
      </c>
      <c r="Z8" s="3444"/>
      <c r="AA8" s="50">
        <f t="shared" ref="AA8:AA45" si="3">D8/F8</f>
        <v>1</v>
      </c>
      <c r="AB8" s="50">
        <f t="shared" ref="AB8:AB45" si="4">D8/H8</f>
        <v>1</v>
      </c>
      <c r="AC8" s="50">
        <f t="shared" ref="AC8:AC45" si="5">D8/J8</f>
        <v>1</v>
      </c>
    </row>
    <row r="9" spans="1:29" s="102" customFormat="1">
      <c r="A9" s="359" t="s">
        <v>1684</v>
      </c>
      <c r="B9" s="60" t="s">
        <v>1685</v>
      </c>
      <c r="C9" s="1825"/>
      <c r="D9" s="59">
        <v>100</v>
      </c>
      <c r="E9" s="1825" t="s">
        <v>3391</v>
      </c>
      <c r="F9" s="59">
        <f>SUMIF(74:74,E9,75:75)-SUMIF(74:74,C9,75:75)+100</f>
        <v>100</v>
      </c>
      <c r="G9" s="1825" t="s">
        <v>3391</v>
      </c>
      <c r="H9" s="59">
        <f>SUMIF(74:74,G9,75:75)-SUMIF(74:74,C9,75:75)+100</f>
        <v>100</v>
      </c>
      <c r="I9" s="1825" t="s">
        <v>3391</v>
      </c>
      <c r="J9" s="59">
        <f>SUMIF(74:74,I9,75:75)-SUMIF(74:74,C9,75:75)+100</f>
        <v>100</v>
      </c>
      <c r="K9" s="38"/>
      <c r="L9" s="2489"/>
      <c r="M9" s="2440"/>
      <c r="N9" s="2440"/>
      <c r="O9" s="2541"/>
      <c r="P9" s="3415"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102</v>
      </c>
      <c r="G10" s="402"/>
      <c r="H10" s="119">
        <f>ROUND(100/'数据-取费表'!G16,0)</f>
        <v>102</v>
      </c>
      <c r="I10" s="402"/>
      <c r="J10" s="119">
        <f>ROUND(100/'数据-取费表'!G16,0)</f>
        <v>102</v>
      </c>
      <c r="K10" s="592"/>
      <c r="L10" s="2490"/>
      <c r="M10" s="2491"/>
      <c r="N10" s="2491"/>
      <c r="O10" s="2542"/>
      <c r="P10" s="3415"/>
      <c r="Q10" s="530" t="str">
        <f t="shared" si="6"/>
        <v>土地使用年限（年）</v>
      </c>
      <c r="R10" s="664" t="s">
        <v>14</v>
      </c>
      <c r="S10" s="665">
        <f t="shared" si="0"/>
        <v>102</v>
      </c>
      <c r="T10" s="664" t="s">
        <v>14</v>
      </c>
      <c r="U10" s="665">
        <f t="shared" si="1"/>
        <v>102</v>
      </c>
      <c r="V10" s="664" t="s">
        <v>14</v>
      </c>
      <c r="W10" s="665">
        <f t="shared" si="2"/>
        <v>102</v>
      </c>
      <c r="X10" s="666"/>
      <c r="Y10" s="3312"/>
      <c r="Z10" s="50" t="str">
        <f t="shared" si="7"/>
        <v>土地使用年限（年）</v>
      </c>
      <c r="AA10" s="50">
        <f t="shared" si="3"/>
        <v>0.98039215686274506</v>
      </c>
      <c r="AB10" s="50">
        <f t="shared" si="4"/>
        <v>0.98039215686274506</v>
      </c>
      <c r="AC10" s="50">
        <f t="shared" si="5"/>
        <v>0.98039215686274506</v>
      </c>
    </row>
    <row r="11" spans="1:29" ht="15">
      <c r="A11" s="367"/>
      <c r="B11" s="364" t="s">
        <v>1689</v>
      </c>
      <c r="C11" s="368">
        <v>2.2000000000000002</v>
      </c>
      <c r="D11" s="119">
        <v>100</v>
      </c>
      <c r="E11" s="368">
        <v>2.5</v>
      </c>
      <c r="F11" s="119">
        <f>LOOKUP(E11,79:79,80:80)-LOOKUP(C11,79:79,80:80)+100</f>
        <v>98</v>
      </c>
      <c r="G11" s="369">
        <v>2.2000000000000002</v>
      </c>
      <c r="H11" s="119">
        <f>LOOKUP(G11,79:79,80:80)-LOOKUP(C11,79:79,80:80)+100</f>
        <v>100</v>
      </c>
      <c r="I11" s="368">
        <v>2.2000000000000002</v>
      </c>
      <c r="J11" s="119">
        <f>LOOKUP(I11,79:79,80:80)-LOOKUP(C11,79:79,80:80)+100</f>
        <v>100</v>
      </c>
      <c r="K11" s="593">
        <v>2</v>
      </c>
      <c r="L11" s="2492"/>
      <c r="M11" s="2488"/>
      <c r="N11" s="2488"/>
      <c r="O11" s="2543"/>
      <c r="P11" s="3415"/>
      <c r="Q11" s="530" t="str">
        <f t="shared" si="6"/>
        <v>容积率</v>
      </c>
      <c r="R11" s="664" t="s">
        <v>14</v>
      </c>
      <c r="S11" s="665">
        <f t="shared" si="0"/>
        <v>98</v>
      </c>
      <c r="T11" s="664" t="s">
        <v>14</v>
      </c>
      <c r="U11" s="665">
        <f t="shared" si="1"/>
        <v>100</v>
      </c>
      <c r="V11" s="664" t="s">
        <v>14</v>
      </c>
      <c r="W11" s="665">
        <f t="shared" si="2"/>
        <v>100</v>
      </c>
      <c r="X11" s="666"/>
      <c r="Y11" s="3312"/>
      <c r="Z11" s="50" t="str">
        <f t="shared" si="7"/>
        <v>容积率</v>
      </c>
      <c r="AA11" s="50">
        <f t="shared" si="3"/>
        <v>1.0204081632653061</v>
      </c>
      <c r="AB11" s="50">
        <f t="shared" si="4"/>
        <v>1</v>
      </c>
      <c r="AC11" s="50">
        <f t="shared" si="5"/>
        <v>1</v>
      </c>
    </row>
    <row r="12" spans="1:29" s="102" customFormat="1" ht="15">
      <c r="A12" s="370"/>
      <c r="B12" s="447" t="s">
        <v>4949</v>
      </c>
      <c r="C12" s="403" t="s">
        <v>4990</v>
      </c>
      <c r="D12" s="372">
        <v>100</v>
      </c>
      <c r="E12" s="403" t="s">
        <v>4990</v>
      </c>
      <c r="F12" s="119">
        <f>SUMIF(81:81,E12,82:82)-SUMIF(81:81,C12,82:82)+100</f>
        <v>100</v>
      </c>
      <c r="G12" s="402" t="s">
        <v>4990</v>
      </c>
      <c r="H12" s="119">
        <f>SUMIF(81:81,G12,82:82)-SUMIF(81:81,C12,82:82)+100</f>
        <v>100</v>
      </c>
      <c r="I12" s="403" t="s">
        <v>4990</v>
      </c>
      <c r="J12" s="119">
        <f>SUMIF(81:81,I12,82:82)-SUMIF(81:81,C12,82:82)+100</f>
        <v>100</v>
      </c>
      <c r="K12" s="592"/>
      <c r="L12" s="2489"/>
      <c r="M12" s="2440"/>
      <c r="N12" s="2440"/>
      <c r="O12" s="2541"/>
      <c r="P12" s="3415"/>
      <c r="Q12" s="530" t="str">
        <f t="shared" si="6"/>
        <v>建设内容</v>
      </c>
      <c r="R12" s="664" t="s">
        <v>14</v>
      </c>
      <c r="S12" s="665">
        <f t="shared" si="0"/>
        <v>100</v>
      </c>
      <c r="T12" s="664" t="s">
        <v>14</v>
      </c>
      <c r="U12" s="665">
        <f t="shared" si="1"/>
        <v>100</v>
      </c>
      <c r="V12" s="664" t="s">
        <v>14</v>
      </c>
      <c r="W12" s="665">
        <f t="shared" si="2"/>
        <v>100</v>
      </c>
      <c r="X12" s="666"/>
      <c r="Y12" s="3312"/>
      <c r="Z12" s="50" t="str">
        <f t="shared" si="7"/>
        <v>建设内容</v>
      </c>
      <c r="AA12" s="50">
        <f>D12/F12</f>
        <v>1</v>
      </c>
      <c r="AB12" s="50">
        <f>D12/H12</f>
        <v>1</v>
      </c>
      <c r="AC12" s="50">
        <f>D12/J12</f>
        <v>1</v>
      </c>
    </row>
    <row r="13" spans="1:29" ht="15">
      <c r="A13" s="367"/>
      <c r="B13" s="447" t="s">
        <v>4950</v>
      </c>
      <c r="C13" s="373">
        <v>29000</v>
      </c>
      <c r="D13" s="374">
        <v>100</v>
      </c>
      <c r="E13" s="480">
        <v>30000</v>
      </c>
      <c r="F13" s="119">
        <f>SUMIF(83:83,E13,84:84)-SUMIF(83:83,C13,84:84)+100</f>
        <v>100</v>
      </c>
      <c r="G13" s="594">
        <v>29000</v>
      </c>
      <c r="H13" s="374">
        <f>SUMIF(83:83,G13,84:84)-SUMIF(83:83,C13,84:84)+100</f>
        <v>100</v>
      </c>
      <c r="I13" s="594">
        <v>29000</v>
      </c>
      <c r="J13" s="374">
        <f>SUMIF(83:83,I13,84:84)-SUMIF(83:83,C13,84:84)+100</f>
        <v>100</v>
      </c>
      <c r="K13" s="592"/>
      <c r="L13" s="2493"/>
      <c r="M13" s="2488"/>
      <c r="N13" s="2488"/>
      <c r="O13" s="2543"/>
      <c r="P13" s="3415"/>
      <c r="Q13" s="530" t="str">
        <f t="shared" si="6"/>
        <v>限价</v>
      </c>
      <c r="R13" s="664" t="s">
        <v>14</v>
      </c>
      <c r="S13" s="665">
        <f t="shared" si="0"/>
        <v>100</v>
      </c>
      <c r="T13" s="664" t="s">
        <v>14</v>
      </c>
      <c r="U13" s="665">
        <f t="shared" si="1"/>
        <v>100</v>
      </c>
      <c r="V13" s="664" t="s">
        <v>14</v>
      </c>
      <c r="W13" s="665">
        <f t="shared" si="2"/>
        <v>100</v>
      </c>
      <c r="X13" s="666"/>
      <c r="Y13" s="3312"/>
      <c r="Z13" s="50" t="str">
        <f t="shared" si="7"/>
        <v>限价</v>
      </c>
      <c r="AA13" s="50">
        <f>D13/F13</f>
        <v>1</v>
      </c>
      <c r="AB13" s="50">
        <f>D13/H13</f>
        <v>1</v>
      </c>
      <c r="AC13" s="50">
        <f>D13/J13</f>
        <v>1</v>
      </c>
    </row>
    <row r="14" spans="1:29" ht="15.75" thickBot="1">
      <c r="A14" s="375"/>
      <c r="B14" s="1749" t="s">
        <v>4951</v>
      </c>
      <c r="C14" s="3195">
        <v>0.8</v>
      </c>
      <c r="D14" s="377">
        <v>100</v>
      </c>
      <c r="E14" s="3196">
        <v>0.7</v>
      </c>
      <c r="F14" s="377">
        <f>SUMIF(85:85,E14,86:86)-SUMIF(85:85,C14,86:86)+100</f>
        <v>95</v>
      </c>
      <c r="G14" s="3197">
        <v>0.7</v>
      </c>
      <c r="H14" s="377">
        <f>SUMIF(85:85,G14,86:86)-SUMIF(85:85,C14,86:86)+100</f>
        <v>95</v>
      </c>
      <c r="I14" s="3197">
        <v>0.7</v>
      </c>
      <c r="J14" s="377">
        <f>SUMIF(85:85,I14,86:86)-SUMIF(85:85,C14,86:86)+100</f>
        <v>95</v>
      </c>
      <c r="K14" s="592"/>
      <c r="L14" s="2493"/>
      <c r="M14" s="2488"/>
      <c r="N14" s="2488"/>
      <c r="O14" s="2543"/>
      <c r="P14" s="3415"/>
      <c r="Q14" s="530" t="str">
        <f t="shared" si="6"/>
        <v>份额</v>
      </c>
      <c r="R14" s="664" t="s">
        <v>14</v>
      </c>
      <c r="S14" s="665">
        <f t="shared" si="0"/>
        <v>95</v>
      </c>
      <c r="T14" s="664" t="s">
        <v>14</v>
      </c>
      <c r="U14" s="665">
        <f t="shared" si="1"/>
        <v>95</v>
      </c>
      <c r="V14" s="664" t="s">
        <v>14</v>
      </c>
      <c r="W14" s="665">
        <f t="shared" si="2"/>
        <v>95</v>
      </c>
      <c r="X14" s="666"/>
      <c r="Y14" s="3312"/>
      <c r="Z14" s="50" t="str">
        <f t="shared" si="7"/>
        <v>份额</v>
      </c>
      <c r="AA14" s="50">
        <f>D14/F14</f>
        <v>1.0526315789473684</v>
      </c>
      <c r="AB14" s="50">
        <f>D14/H14</f>
        <v>1.0526315789473684</v>
      </c>
      <c r="AC14" s="50">
        <f>D14/J14</f>
        <v>1.0526315789473684</v>
      </c>
    </row>
    <row r="15" spans="1:29" ht="15">
      <c r="A15" s="379" t="s">
        <v>1690</v>
      </c>
      <c r="B15" s="58" t="s">
        <v>1257</v>
      </c>
      <c r="C15" s="1750">
        <f>估价对象房地状况!C15</f>
        <v>0</v>
      </c>
      <c r="D15" s="380">
        <v>100</v>
      </c>
      <c r="E15" s="381"/>
      <c r="F15" s="380">
        <f>SUMIF(87:87,E16,88:88)-SUMIF(87:87,C16,88:88)+100</f>
        <v>105</v>
      </c>
      <c r="G15" s="381"/>
      <c r="H15" s="380">
        <f>SUMIF(87:87,G16,88:88)-SUMIF(87:87,C16,88:88)+100</f>
        <v>105</v>
      </c>
      <c r="I15" s="383"/>
      <c r="J15" s="380">
        <f>SUMIF(87:87,I16,88:88)-SUMIF(87:87,C16,88:88)+100</f>
        <v>105</v>
      </c>
      <c r="K15" s="593">
        <v>5</v>
      </c>
      <c r="L15" s="2493"/>
      <c r="M15" s="2488"/>
      <c r="N15" s="2488"/>
      <c r="O15" s="2543"/>
      <c r="P15" s="3416" t="s">
        <v>1691</v>
      </c>
      <c r="Q15" s="1263" t="str">
        <f t="shared" si="6"/>
        <v>居住社区成熟度</v>
      </c>
      <c r="R15" s="667" t="s">
        <v>14</v>
      </c>
      <c r="S15" s="668">
        <f t="shared" si="0"/>
        <v>105</v>
      </c>
      <c r="T15" s="667" t="s">
        <v>14</v>
      </c>
      <c r="U15" s="668">
        <f t="shared" si="1"/>
        <v>105</v>
      </c>
      <c r="V15" s="667" t="s">
        <v>14</v>
      </c>
      <c r="W15" s="668">
        <f t="shared" si="2"/>
        <v>105</v>
      </c>
      <c r="X15" s="1265"/>
      <c r="Y15" s="3416" t="s">
        <v>1691</v>
      </c>
      <c r="Z15" s="1264" t="str">
        <f t="shared" si="7"/>
        <v>居住社区成熟度</v>
      </c>
      <c r="AA15" s="1264">
        <f t="shared" si="3"/>
        <v>0.95238095238095233</v>
      </c>
      <c r="AB15" s="1264">
        <f t="shared" si="4"/>
        <v>0.95238095238095233</v>
      </c>
      <c r="AC15" s="1264">
        <f t="shared" si="5"/>
        <v>0.95238095238095233</v>
      </c>
    </row>
    <row r="16" spans="1:29" ht="15">
      <c r="A16" s="367"/>
      <c r="B16" s="385"/>
      <c r="C16" s="386" t="s">
        <v>4992</v>
      </c>
      <c r="D16" s="387"/>
      <c r="E16" s="1752" t="s">
        <v>4991</v>
      </c>
      <c r="F16" s="387"/>
      <c r="G16" s="1752" t="s">
        <v>4991</v>
      </c>
      <c r="H16" s="389"/>
      <c r="I16" s="1751" t="s">
        <v>4991</v>
      </c>
      <c r="J16" s="387"/>
      <c r="K16" s="592"/>
      <c r="L16" s="2493"/>
      <c r="M16" s="2488"/>
      <c r="N16" s="2488"/>
      <c r="O16" s="2543"/>
      <c r="P16" s="3417"/>
      <c r="Q16" s="1263"/>
      <c r="R16" s="667"/>
      <c r="S16" s="668"/>
      <c r="T16" s="667"/>
      <c r="U16" s="668"/>
      <c r="V16" s="667"/>
      <c r="W16" s="668"/>
      <c r="X16" s="1265"/>
      <c r="Y16" s="3417"/>
      <c r="Z16" s="1264"/>
      <c r="AA16" s="1264">
        <v>1</v>
      </c>
      <c r="AB16" s="1264">
        <v>1</v>
      </c>
      <c r="AC16" s="1264">
        <v>1</v>
      </c>
    </row>
    <row r="17" spans="1:29" ht="15" hidden="1">
      <c r="A17" s="367"/>
      <c r="B17" s="390" t="s">
        <v>1777</v>
      </c>
      <c r="C17" s="1806">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3"/>
      <c r="L17" s="2493"/>
      <c r="M17" s="2488"/>
      <c r="N17" s="2488"/>
      <c r="O17" s="2543"/>
      <c r="P17" s="3417"/>
      <c r="Q17" s="1263" t="str">
        <f>B17</f>
        <v>商业繁华度</v>
      </c>
      <c r="R17" s="667" t="s">
        <v>14</v>
      </c>
      <c r="S17" s="668">
        <f>F17</f>
        <v>100</v>
      </c>
      <c r="T17" s="667" t="s">
        <v>14</v>
      </c>
      <c r="U17" s="668">
        <f>H17</f>
        <v>100</v>
      </c>
      <c r="V17" s="667" t="s">
        <v>14</v>
      </c>
      <c r="W17" s="668">
        <f>J17</f>
        <v>100</v>
      </c>
      <c r="X17" s="1265"/>
      <c r="Y17" s="3417"/>
      <c r="Z17" s="1264" t="str">
        <f>Q17</f>
        <v>商业繁华度</v>
      </c>
      <c r="AA17" s="1264">
        <f t="shared" si="3"/>
        <v>1</v>
      </c>
      <c r="AB17" s="1264">
        <f t="shared" si="4"/>
        <v>1</v>
      </c>
      <c r="AC17" s="1264">
        <f t="shared" si="5"/>
        <v>1</v>
      </c>
    </row>
    <row r="18" spans="1:29" ht="15" hidden="1">
      <c r="A18" s="367"/>
      <c r="B18" s="395"/>
      <c r="C18" s="1755"/>
      <c r="D18" s="389"/>
      <c r="E18" s="1757"/>
      <c r="F18" s="389"/>
      <c r="G18" s="1757"/>
      <c r="H18" s="387"/>
      <c r="I18" s="1756"/>
      <c r="J18" s="387"/>
      <c r="K18" s="592"/>
      <c r="L18" s="2493"/>
      <c r="M18" s="2488"/>
      <c r="N18" s="2488"/>
      <c r="O18" s="2543"/>
      <c r="P18" s="3417"/>
      <c r="Q18" s="1263"/>
      <c r="R18" s="667"/>
      <c r="S18" s="668"/>
      <c r="T18" s="667"/>
      <c r="U18" s="668"/>
      <c r="V18" s="667"/>
      <c r="W18" s="668"/>
      <c r="X18" s="1265"/>
      <c r="Y18" s="3417"/>
      <c r="Z18" s="1264"/>
      <c r="AA18" s="1264">
        <v>1</v>
      </c>
      <c r="AB18" s="1264">
        <v>1</v>
      </c>
      <c r="AC18" s="1264">
        <v>1</v>
      </c>
    </row>
    <row r="19" spans="1:29" ht="15" hidden="1">
      <c r="A19" s="367"/>
      <c r="B19" s="390" t="s">
        <v>1811</v>
      </c>
      <c r="C19" s="1806">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3"/>
      <c r="L19" s="2493"/>
      <c r="M19" s="2488"/>
      <c r="N19" s="2488"/>
      <c r="O19" s="2543"/>
      <c r="P19" s="3417"/>
      <c r="Q19" s="1263" t="str">
        <f>B19</f>
        <v>办公集聚程度</v>
      </c>
      <c r="R19" s="667" t="s">
        <v>14</v>
      </c>
      <c r="S19" s="668">
        <f>F19</f>
        <v>100</v>
      </c>
      <c r="T19" s="667" t="s">
        <v>14</v>
      </c>
      <c r="U19" s="668">
        <f>H19</f>
        <v>100</v>
      </c>
      <c r="V19" s="667" t="s">
        <v>14</v>
      </c>
      <c r="W19" s="668">
        <f>J19</f>
        <v>100</v>
      </c>
      <c r="X19" s="1265"/>
      <c r="Y19" s="3417"/>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3"/>
      <c r="M20" s="2488"/>
      <c r="N20" s="2488"/>
      <c r="O20" s="2543"/>
      <c r="P20" s="3417"/>
      <c r="Q20" s="1263"/>
      <c r="R20" s="667"/>
      <c r="S20" s="668"/>
      <c r="T20" s="667"/>
      <c r="U20" s="668"/>
      <c r="V20" s="667"/>
      <c r="W20" s="668"/>
      <c r="X20" s="1265"/>
      <c r="Y20" s="3417"/>
      <c r="Z20" s="1264"/>
      <c r="AA20" s="1264">
        <v>1</v>
      </c>
      <c r="AB20" s="1264">
        <v>1</v>
      </c>
      <c r="AC20" s="1264">
        <v>1</v>
      </c>
    </row>
    <row r="21" spans="1:29" ht="15">
      <c r="A21" s="367"/>
      <c r="B21" s="390" t="s">
        <v>1833</v>
      </c>
      <c r="C21" s="1754">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3"/>
      <c r="M21" s="2488"/>
      <c r="N21" s="2488"/>
      <c r="O21" s="2543"/>
      <c r="P21" s="3417"/>
      <c r="Q21" s="1263" t="str">
        <f>B21</f>
        <v>交通便捷度</v>
      </c>
      <c r="R21" s="667" t="s">
        <v>14</v>
      </c>
      <c r="S21" s="668">
        <f>F21</f>
        <v>105</v>
      </c>
      <c r="T21" s="667" t="s">
        <v>14</v>
      </c>
      <c r="U21" s="668">
        <f>H21</f>
        <v>105</v>
      </c>
      <c r="V21" s="667" t="s">
        <v>14</v>
      </c>
      <c r="W21" s="668">
        <f>J21</f>
        <v>105</v>
      </c>
      <c r="X21" s="1265"/>
      <c r="Y21" s="3417"/>
      <c r="Z21" s="1264" t="str">
        <f>Q21</f>
        <v>交通便捷度</v>
      </c>
      <c r="AA21" s="1264">
        <f t="shared" si="3"/>
        <v>0.95238095238095233</v>
      </c>
      <c r="AB21" s="1264">
        <f t="shared" si="4"/>
        <v>0.95238095238095233</v>
      </c>
      <c r="AC21" s="1264">
        <f t="shared" si="5"/>
        <v>0.95238095238095233</v>
      </c>
    </row>
    <row r="22" spans="1:29" ht="15">
      <c r="A22" s="367"/>
      <c r="B22" s="586"/>
      <c r="C22" s="386" t="s">
        <v>4992</v>
      </c>
      <c r="D22" s="389"/>
      <c r="E22" s="1752" t="s">
        <v>4991</v>
      </c>
      <c r="F22" s="387"/>
      <c r="G22" s="1752" t="s">
        <v>4991</v>
      </c>
      <c r="H22" s="387"/>
      <c r="I22" s="1751" t="s">
        <v>4991</v>
      </c>
      <c r="J22" s="387"/>
      <c r="K22" s="592"/>
      <c r="L22" s="2493"/>
      <c r="M22" s="2488"/>
      <c r="N22" s="2488"/>
      <c r="O22" s="2543"/>
      <c r="P22" s="3417"/>
      <c r="Q22" s="1263"/>
      <c r="R22" s="667"/>
      <c r="S22" s="668"/>
      <c r="T22" s="667"/>
      <c r="U22" s="668"/>
      <c r="V22" s="667"/>
      <c r="W22" s="668"/>
      <c r="X22" s="1265"/>
      <c r="Y22" s="3417"/>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3"/>
      <c r="M23" s="2488"/>
      <c r="N23" s="2488"/>
      <c r="O23" s="2543"/>
      <c r="P23" s="3417"/>
      <c r="Q23" s="1263" t="str">
        <f t="shared" ref="Q23:Q37" si="8">B23</f>
        <v>区域土地利用方向</v>
      </c>
      <c r="R23" s="667" t="s">
        <v>14</v>
      </c>
      <c r="S23" s="668">
        <f>F23</f>
        <v>100</v>
      </c>
      <c r="T23" s="667" t="s">
        <v>14</v>
      </c>
      <c r="U23" s="668">
        <f>H23</f>
        <v>100</v>
      </c>
      <c r="V23" s="667" t="s">
        <v>14</v>
      </c>
      <c r="W23" s="668">
        <f>J23</f>
        <v>100</v>
      </c>
      <c r="X23" s="1265"/>
      <c r="Y23" s="3417"/>
      <c r="Z23" s="1264" t="str">
        <f>Q23</f>
        <v>区域土地利用方向</v>
      </c>
      <c r="AA23" s="1264">
        <f t="shared" si="3"/>
        <v>1</v>
      </c>
      <c r="AB23" s="1264">
        <f t="shared" si="4"/>
        <v>1</v>
      </c>
      <c r="AC23" s="1264">
        <f t="shared" si="5"/>
        <v>1</v>
      </c>
    </row>
    <row r="24" spans="1:29" ht="15">
      <c r="A24" s="348"/>
      <c r="B24" s="395"/>
      <c r="C24" s="542" t="s">
        <v>4991</v>
      </c>
      <c r="D24" s="387"/>
      <c r="E24" s="1752" t="s">
        <v>4991</v>
      </c>
      <c r="F24" s="387"/>
      <c r="G24" s="1751" t="s">
        <v>4991</v>
      </c>
      <c r="H24" s="387"/>
      <c r="I24" s="1751" t="s">
        <v>4991</v>
      </c>
      <c r="J24" s="387"/>
      <c r="K24" s="698"/>
      <c r="L24" s="2493"/>
      <c r="M24" s="2488"/>
      <c r="N24" s="2488"/>
      <c r="O24" s="2543"/>
      <c r="P24" s="3417"/>
      <c r="Q24" s="1263"/>
      <c r="R24" s="667"/>
      <c r="S24" s="668"/>
      <c r="T24" s="667"/>
      <c r="U24" s="668"/>
      <c r="V24" s="667"/>
      <c r="W24" s="668"/>
      <c r="X24" s="1265"/>
      <c r="Y24" s="3417"/>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5</v>
      </c>
      <c r="L25" s="2493"/>
      <c r="M25" s="2488"/>
      <c r="N25" s="2488"/>
      <c r="O25" s="2543"/>
      <c r="P25" s="3417"/>
      <c r="Q25" s="1263" t="str">
        <f t="shared" si="8"/>
        <v>自然及人文环境状况</v>
      </c>
      <c r="R25" s="667" t="s">
        <v>14</v>
      </c>
      <c r="S25" s="668">
        <f>F25</f>
        <v>100</v>
      </c>
      <c r="T25" s="667" t="s">
        <v>14</v>
      </c>
      <c r="U25" s="668">
        <f>H25</f>
        <v>100</v>
      </c>
      <c r="V25" s="667" t="s">
        <v>14</v>
      </c>
      <c r="W25" s="668">
        <f>J25</f>
        <v>100</v>
      </c>
      <c r="X25" s="1265"/>
      <c r="Y25" s="3417"/>
      <c r="Z25" s="1264" t="str">
        <f>Q25</f>
        <v>自然及人文环境状况</v>
      </c>
      <c r="AA25" s="1264">
        <f t="shared" si="3"/>
        <v>1</v>
      </c>
      <c r="AB25" s="1264">
        <f t="shared" si="4"/>
        <v>1</v>
      </c>
      <c r="AC25" s="1264">
        <f t="shared" si="5"/>
        <v>1</v>
      </c>
    </row>
    <row r="26" spans="1:29" ht="15">
      <c r="A26" s="348"/>
      <c r="B26" s="395"/>
      <c r="C26" s="386" t="s">
        <v>4992</v>
      </c>
      <c r="D26" s="387"/>
      <c r="E26" s="1758" t="s">
        <v>4992</v>
      </c>
      <c r="F26" s="387"/>
      <c r="G26" s="1758" t="s">
        <v>4992</v>
      </c>
      <c r="H26" s="387"/>
      <c r="I26" s="386" t="s">
        <v>4992</v>
      </c>
      <c r="J26" s="387"/>
      <c r="K26" s="592"/>
      <c r="L26" s="2493"/>
      <c r="M26" s="2488"/>
      <c r="N26" s="2488"/>
      <c r="O26" s="2543"/>
      <c r="P26" s="3417"/>
      <c r="Q26" s="1263"/>
      <c r="R26" s="667"/>
      <c r="S26" s="668"/>
      <c r="T26" s="667"/>
      <c r="U26" s="668"/>
      <c r="V26" s="667"/>
      <c r="W26" s="668"/>
      <c r="X26" s="1265"/>
      <c r="Y26" s="341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105</v>
      </c>
      <c r="G27" s="391"/>
      <c r="H27" s="389">
        <f>SUMIF(99:99,G28,100:100)-SUMIF(99:99,C28,100:100)+100</f>
        <v>100</v>
      </c>
      <c r="I27" s="393"/>
      <c r="J27" s="389">
        <f>SUMIF(99:99,I28,100:100)-SUMIF(99:99,C28,100:100)+100</f>
        <v>100</v>
      </c>
      <c r="K27" s="593">
        <v>5</v>
      </c>
      <c r="L27" s="2489"/>
      <c r="M27" s="2440"/>
      <c r="N27" s="2440"/>
      <c r="O27" s="2541"/>
      <c r="P27" s="3417"/>
      <c r="Q27" s="530" t="str">
        <f t="shared" si="8"/>
        <v>公共配套设施</v>
      </c>
      <c r="R27" s="664" t="s">
        <v>14</v>
      </c>
      <c r="S27" s="665">
        <f>F27</f>
        <v>105</v>
      </c>
      <c r="T27" s="664" t="s">
        <v>14</v>
      </c>
      <c r="U27" s="665">
        <f>H27</f>
        <v>100</v>
      </c>
      <c r="V27" s="664" t="s">
        <v>14</v>
      </c>
      <c r="W27" s="665">
        <f>J27</f>
        <v>100</v>
      </c>
      <c r="X27" s="666"/>
      <c r="Y27" s="3417"/>
      <c r="Z27" s="50" t="str">
        <f>Q27</f>
        <v>公共配套设施</v>
      </c>
      <c r="AA27" s="1264">
        <f>D27/F27</f>
        <v>0.95238095238095233</v>
      </c>
      <c r="AB27" s="1264">
        <f>D27/H27</f>
        <v>1</v>
      </c>
      <c r="AC27" s="1264">
        <f>D27/J27</f>
        <v>1</v>
      </c>
    </row>
    <row r="28" spans="1:29" s="102" customFormat="1" ht="15">
      <c r="A28" s="443"/>
      <c r="B28" s="395"/>
      <c r="C28" s="1826" t="s">
        <v>4992</v>
      </c>
      <c r="D28" s="387"/>
      <c r="E28" s="1758" t="s">
        <v>4991</v>
      </c>
      <c r="F28" s="387"/>
      <c r="G28" s="1758" t="s">
        <v>4992</v>
      </c>
      <c r="H28" s="387"/>
      <c r="I28" s="386" t="s">
        <v>4992</v>
      </c>
      <c r="J28" s="387"/>
      <c r="K28" s="592"/>
      <c r="L28" s="2489"/>
      <c r="M28" s="2440"/>
      <c r="N28" s="2440"/>
      <c r="O28" s="2541"/>
      <c r="P28" s="3417"/>
      <c r="Q28" s="530"/>
      <c r="R28" s="664"/>
      <c r="S28" s="665"/>
      <c r="T28" s="664"/>
      <c r="U28" s="665"/>
      <c r="V28" s="664"/>
      <c r="W28" s="665"/>
      <c r="X28" s="666"/>
      <c r="Y28" s="341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9"/>
      <c r="M29" s="2440"/>
      <c r="N29" s="2440"/>
      <c r="O29" s="2541"/>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4">
        <f>D29/F29</f>
        <v>1</v>
      </c>
      <c r="AB29" s="1264">
        <f>D29/H29</f>
        <v>1</v>
      </c>
      <c r="AC29" s="1264">
        <f>D29/J29</f>
        <v>1</v>
      </c>
    </row>
    <row r="30" spans="1:29" s="102" customFormat="1" ht="15.75" thickBot="1">
      <c r="A30" s="443"/>
      <c r="B30" s="395"/>
      <c r="C30" s="1826" t="s">
        <v>4993</v>
      </c>
      <c r="D30" s="387"/>
      <c r="E30" s="1827" t="s">
        <v>4993</v>
      </c>
      <c r="F30" s="387"/>
      <c r="G30" s="1827" t="s">
        <v>4993</v>
      </c>
      <c r="H30" s="387"/>
      <c r="I30" s="1827" t="s">
        <v>4993</v>
      </c>
      <c r="J30" s="387"/>
      <c r="K30" s="592"/>
      <c r="L30" s="2489"/>
      <c r="M30" s="2440"/>
      <c r="N30" s="2440"/>
      <c r="O30" s="2541"/>
      <c r="P30" s="3417"/>
      <c r="Q30" s="530"/>
      <c r="R30" s="664"/>
      <c r="S30" s="665"/>
      <c r="T30" s="664"/>
      <c r="U30" s="665"/>
      <c r="V30" s="664"/>
      <c r="W30" s="665"/>
      <c r="X30" s="666"/>
      <c r="Y30" s="3417"/>
      <c r="Z30" s="50"/>
      <c r="AA30" s="1264">
        <v>1</v>
      </c>
      <c r="AB30" s="1264">
        <v>1</v>
      </c>
      <c r="AC30" s="1264">
        <v>1</v>
      </c>
    </row>
    <row r="31" spans="1:29" ht="15" hidden="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7"/>
      <c r="Z31" s="1264" t="str">
        <f t="shared" ref="Z31:Z45" si="13">Q31</f>
        <v>临街状况</v>
      </c>
      <c r="AA31" s="1264">
        <f t="shared" si="3"/>
        <v>1</v>
      </c>
      <c r="AB31" s="1264">
        <f t="shared" si="4"/>
        <v>1</v>
      </c>
      <c r="AC31" s="1264">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7"/>
      <c r="Q32" s="1263" t="str">
        <f t="shared" si="8"/>
        <v>毗邻道路的类型与等级</v>
      </c>
      <c r="R32" s="667" t="s">
        <v>14</v>
      </c>
      <c r="S32" s="668">
        <f t="shared" si="10"/>
        <v>100</v>
      </c>
      <c r="T32" s="667" t="s">
        <v>14</v>
      </c>
      <c r="U32" s="668">
        <f t="shared" si="11"/>
        <v>100</v>
      </c>
      <c r="V32" s="667" t="s">
        <v>14</v>
      </c>
      <c r="W32" s="668">
        <f t="shared" si="12"/>
        <v>100</v>
      </c>
      <c r="X32" s="1265"/>
      <c r="Y32" s="3417"/>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417"/>
      <c r="Q33" s="1263"/>
      <c r="R33" s="667"/>
      <c r="S33" s="668"/>
      <c r="T33" s="667"/>
      <c r="U33" s="668"/>
      <c r="V33" s="667"/>
      <c r="W33" s="668"/>
      <c r="X33" s="1265"/>
      <c r="Y33" s="3417"/>
      <c r="Z33" s="1264"/>
      <c r="AA33" s="1264">
        <v>1</v>
      </c>
      <c r="AB33" s="1264">
        <v>1</v>
      </c>
      <c r="AC33" s="1264">
        <v>1</v>
      </c>
    </row>
    <row r="34" spans="1:29" ht="15" hidden="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7"/>
      <c r="Q34" s="1263" t="str">
        <f t="shared" si="8"/>
        <v>土地级别</v>
      </c>
      <c r="R34" s="667" t="s">
        <v>14</v>
      </c>
      <c r="S34" s="668">
        <f t="shared" si="10"/>
        <v>100</v>
      </c>
      <c r="T34" s="667" t="s">
        <v>14</v>
      </c>
      <c r="U34" s="668">
        <f t="shared" si="11"/>
        <v>100</v>
      </c>
      <c r="V34" s="667" t="s">
        <v>14</v>
      </c>
      <c r="W34" s="668">
        <f t="shared" si="12"/>
        <v>100</v>
      </c>
      <c r="X34" s="1265"/>
      <c r="Y34" s="3417"/>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7"/>
      <c r="Q35" s="1263">
        <f t="shared" si="8"/>
        <v>111</v>
      </c>
      <c r="R35" s="667" t="s">
        <v>14</v>
      </c>
      <c r="S35" s="668">
        <f t="shared" si="10"/>
        <v>100</v>
      </c>
      <c r="T35" s="667" t="s">
        <v>14</v>
      </c>
      <c r="U35" s="668">
        <f t="shared" si="11"/>
        <v>100</v>
      </c>
      <c r="V35" s="667" t="s">
        <v>14</v>
      </c>
      <c r="W35" s="668">
        <f t="shared" si="12"/>
        <v>100</v>
      </c>
      <c r="X35" s="1265"/>
      <c r="Y35" s="3417"/>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1873</v>
      </c>
      <c r="C38" s="599">
        <v>95947</v>
      </c>
      <c r="D38" s="405">
        <v>100</v>
      </c>
      <c r="E38" s="599">
        <f>土地案例!D3</f>
        <v>34525.83</v>
      </c>
      <c r="F38" s="405">
        <f>LOOKUP(E38,116:116,117:117)-LOOKUP(C38,116:116,117:117)+100</f>
        <v>102</v>
      </c>
      <c r="G38" s="599">
        <f>土地案例!D4</f>
        <v>59523.360000000001</v>
      </c>
      <c r="H38" s="405">
        <f>LOOKUP(G38,116:116,117:117)-LOOKUP(C38,116:116,117:117)+100</f>
        <v>102</v>
      </c>
      <c r="I38" s="462">
        <f>土地案例!D5</f>
        <v>87287.8</v>
      </c>
      <c r="J38" s="405">
        <f>LOOKUP(I38,116:116,117:117)-LOOKUP(C38,116:116,117:117)+100</f>
        <v>100</v>
      </c>
      <c r="K38" s="539"/>
      <c r="L38" s="2493"/>
      <c r="M38" s="2488"/>
      <c r="N38" s="2488"/>
      <c r="O38" s="2543"/>
      <c r="P38" s="3419"/>
      <c r="Q38" s="1263" t="str">
        <f>B38</f>
        <v>宗地面积</v>
      </c>
      <c r="R38" s="667" t="s">
        <v>14</v>
      </c>
      <c r="S38" s="668">
        <f t="shared" si="10"/>
        <v>102</v>
      </c>
      <c r="T38" s="667" t="s">
        <v>14</v>
      </c>
      <c r="U38" s="668">
        <f t="shared" si="11"/>
        <v>102</v>
      </c>
      <c r="V38" s="667" t="s">
        <v>14</v>
      </c>
      <c r="W38" s="668">
        <f t="shared" si="12"/>
        <v>100</v>
      </c>
      <c r="X38" s="1265"/>
      <c r="Y38" s="3419"/>
      <c r="Z38" s="1264" t="str">
        <f t="shared" si="13"/>
        <v>宗地面积</v>
      </c>
      <c r="AA38" s="1264">
        <f t="shared" si="3"/>
        <v>0.98039215686274506</v>
      </c>
      <c r="AB38" s="1264">
        <f t="shared" si="4"/>
        <v>0.98039215686274506</v>
      </c>
      <c r="AC38" s="1264">
        <f t="shared" si="5"/>
        <v>1</v>
      </c>
    </row>
    <row r="39" spans="1:29" ht="15">
      <c r="A39" s="409"/>
      <c r="B39" s="364" t="s">
        <v>1874</v>
      </c>
      <c r="C39" s="1760" t="s">
        <v>4994</v>
      </c>
      <c r="D39" s="374">
        <v>100</v>
      </c>
      <c r="E39" s="1760" t="s">
        <v>4994</v>
      </c>
      <c r="F39" s="374">
        <f>SUMIF(118:118,E39,119:119)-SUMIF(118:118,C39,119:119)+100</f>
        <v>100</v>
      </c>
      <c r="G39" s="1760" t="s">
        <v>4994</v>
      </c>
      <c r="H39" s="374">
        <f>SUMIF(118:118,G39,119:119)-SUMIF(118:118,C39,119:119)+100</f>
        <v>100</v>
      </c>
      <c r="I39" s="1760" t="s">
        <v>4994</v>
      </c>
      <c r="J39" s="374">
        <f>SUMIF(118:118,I39,119:119)-SUMIF(118:118,C39,119:119)+100</f>
        <v>100</v>
      </c>
      <c r="K39" s="538">
        <v>2</v>
      </c>
      <c r="L39" s="2493"/>
      <c r="M39" s="2488"/>
      <c r="N39" s="2488"/>
      <c r="O39" s="2543"/>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1875</v>
      </c>
      <c r="C40" s="1760" t="s">
        <v>4991</v>
      </c>
      <c r="D40" s="374">
        <v>100</v>
      </c>
      <c r="E40" s="1760" t="s">
        <v>4991</v>
      </c>
      <c r="F40" s="374">
        <f>SUMIF(120:120,E40,121:121)-SUMIF(120:120,C40,121:121)+100</f>
        <v>100</v>
      </c>
      <c r="G40" s="1760" t="s">
        <v>4991</v>
      </c>
      <c r="H40" s="374">
        <f>SUMIF(120:120,G40,121:121)-SUMIF(120:120,C40,121:121)+100</f>
        <v>100</v>
      </c>
      <c r="I40" s="1760" t="s">
        <v>4991</v>
      </c>
      <c r="J40" s="374">
        <f>SUMIF(120:120,I40,121:121)-SUMIF(120:120,C40,121:121)+100</f>
        <v>100</v>
      </c>
      <c r="K40" s="538">
        <v>2</v>
      </c>
      <c r="L40" s="2493"/>
      <c r="M40" s="2488"/>
      <c r="N40" s="2488"/>
      <c r="O40" s="2543"/>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1876</v>
      </c>
      <c r="C41" s="1828" t="s">
        <v>4995</v>
      </c>
      <c r="D41" s="119">
        <v>100</v>
      </c>
      <c r="E41" s="1828" t="s">
        <v>4995</v>
      </c>
      <c r="F41" s="374">
        <f>SUMIF(122:122,E41,123:123)-SUMIF(122:122,C41,123:123)+100</f>
        <v>100</v>
      </c>
      <c r="G41" s="1828" t="s">
        <v>4995</v>
      </c>
      <c r="H41" s="374">
        <f>SUMIF(122:122,G41,123:123)-SUMIF(122:122,C41,123:123)+100</f>
        <v>100</v>
      </c>
      <c r="I41" s="1828" t="s">
        <v>4995</v>
      </c>
      <c r="J41" s="374">
        <f>SUMIF(122:122,I41,123:123)-SUMIF(122:122,C41,123:123)+100</f>
        <v>100</v>
      </c>
      <c r="K41" s="538">
        <v>2</v>
      </c>
      <c r="L41" s="2489"/>
      <c r="M41" s="2440"/>
      <c r="N41" s="2440"/>
      <c r="O41" s="2541"/>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75" thickBot="1">
      <c r="A42" s="409"/>
      <c r="B42" s="364" t="s">
        <v>1877</v>
      </c>
      <c r="C42" s="1760" t="s">
        <v>4991</v>
      </c>
      <c r="D42" s="374">
        <v>100</v>
      </c>
      <c r="E42" s="1760" t="s">
        <v>4991</v>
      </c>
      <c r="F42" s="374">
        <f>SUMIF(124:124,E42,125:125)-SUMIF(124:124,C42,125:125)+100</f>
        <v>100</v>
      </c>
      <c r="G42" s="1760" t="s">
        <v>4991</v>
      </c>
      <c r="H42" s="374">
        <f>SUMIF(124:124,G42,125:125)-SUMIF(124:124,C42,125:125)+100</f>
        <v>100</v>
      </c>
      <c r="I42" s="1760" t="s">
        <v>4991</v>
      </c>
      <c r="J42" s="374">
        <f>SUMIF(124:124,I42,125:125)-SUMIF(124:124,C42,125:125)+100</f>
        <v>100</v>
      </c>
      <c r="K42" s="538">
        <v>2</v>
      </c>
      <c r="L42" s="2493"/>
      <c r="M42" s="2488"/>
      <c r="N42" s="2488"/>
      <c r="O42" s="2543"/>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30" t="s">
        <v>1878</v>
      </c>
      <c r="C46" s="602" t="s">
        <v>0</v>
      </c>
      <c r="D46" s="418"/>
      <c r="E46" s="419">
        <f>土地案例!O3</f>
        <v>15698</v>
      </c>
      <c r="F46" s="420"/>
      <c r="G46" s="421">
        <f>土地案例!O4</f>
        <v>14372</v>
      </c>
      <c r="H46" s="422"/>
      <c r="I46" s="419">
        <f>土地案例!O5</f>
        <v>14328</v>
      </c>
      <c r="J46" s="422"/>
      <c r="K46" s="674"/>
      <c r="L46" s="2495"/>
      <c r="M46" s="2488"/>
      <c r="N46" s="2488"/>
      <c r="O46" s="2488"/>
      <c r="P46" s="3415" t="str">
        <f>A46</f>
        <v>成交单价</v>
      </c>
      <c r="Q46" s="3415"/>
      <c r="R46" s="3420">
        <f>E46</f>
        <v>15698</v>
      </c>
      <c r="S46" s="3420"/>
      <c r="T46" s="3420">
        <f>G46</f>
        <v>14372</v>
      </c>
      <c r="U46" s="3420"/>
      <c r="V46" s="3420">
        <f>I46</f>
        <v>14328</v>
      </c>
      <c r="W46" s="3420"/>
      <c r="X46" s="385"/>
      <c r="Y46" s="673"/>
      <c r="Z46" s="385"/>
      <c r="AA46" s="385"/>
      <c r="AB46" s="385"/>
      <c r="AC46" s="385"/>
    </row>
    <row r="47" spans="1:29" ht="15.75" thickBot="1">
      <c r="A47" s="423" t="s">
        <v>1793</v>
      </c>
      <c r="B47" s="603"/>
      <c r="C47" s="426">
        <f>R48</f>
        <v>13038</v>
      </c>
      <c r="D47" s="2141" t="s">
        <v>2137</v>
      </c>
      <c r="E47" s="426">
        <f>R47</f>
        <v>13494</v>
      </c>
      <c r="F47" s="2142"/>
      <c r="G47" s="425">
        <f>T47</f>
        <v>12703</v>
      </c>
      <c r="H47" s="2142"/>
      <c r="I47" s="426">
        <f>V47</f>
        <v>12917</v>
      </c>
      <c r="J47" s="2142"/>
      <c r="K47" s="2144">
        <f>F47+H47+J47</f>
        <v>0</v>
      </c>
      <c r="L47" s="2495"/>
      <c r="M47" s="2488"/>
      <c r="N47" s="2488"/>
      <c r="O47" s="2488"/>
      <c r="P47" s="3415" t="str">
        <f>A47</f>
        <v>比较价值（元/平方米）</v>
      </c>
      <c r="Q47" s="3415"/>
      <c r="R47" s="3408">
        <f>ROUND(PRODUCT(R46,AA7:AA45),0)</f>
        <v>13494</v>
      </c>
      <c r="S47" s="3408"/>
      <c r="T47" s="3408">
        <f>ROUND(PRODUCT(T46,AB7:AB45),0)</f>
        <v>12703</v>
      </c>
      <c r="U47" s="3408"/>
      <c r="V47" s="3408">
        <f>ROUND(PRODUCT(V46,AC7:AC45),0)</f>
        <v>12917</v>
      </c>
      <c r="W47" s="3408"/>
      <c r="X47" s="385"/>
      <c r="Y47" s="385"/>
      <c r="Z47" s="385"/>
      <c r="AA47" s="385"/>
      <c r="AB47" s="385"/>
      <c r="AC47" s="385"/>
    </row>
    <row r="48" spans="1:29" ht="15.75" thickBot="1">
      <c r="A48" s="427" t="s">
        <v>1879</v>
      </c>
      <c r="B48" s="428"/>
      <c r="C48" s="429">
        <f>R48</f>
        <v>13038</v>
      </c>
      <c r="D48" s="429"/>
      <c r="E48" s="429"/>
      <c r="F48" s="429"/>
      <c r="G48" s="429"/>
      <c r="H48" s="429"/>
      <c r="I48" s="429"/>
      <c r="J48" s="429"/>
      <c r="K48" s="675"/>
      <c r="L48" s="2495"/>
      <c r="M48" s="2488"/>
      <c r="N48" s="2488"/>
      <c r="O48" s="2488"/>
      <c r="P48" s="3409" t="str">
        <f>A48</f>
        <v>估价对象XX用房的比较价值（楼面单价，元/平方米）</v>
      </c>
      <c r="Q48" s="3410"/>
      <c r="R48" s="3411">
        <f>ROUND(IF(D47="简单平均",AVERAGE(R47:W47),R47*F47+T47*H47+V47*J47),0)</f>
        <v>13038</v>
      </c>
      <c r="S48" s="3411"/>
      <c r="T48" s="3411"/>
      <c r="U48" s="3411"/>
      <c r="V48" s="3411"/>
      <c r="W48" s="341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0.16333185119312277</v>
      </c>
      <c r="F51" s="435" t="str">
        <f>IF(OR(E51&gt;=0.3,E51&lt;=-0.3),"超过30%","")</f>
        <v/>
      </c>
      <c r="G51" s="434">
        <f>IF(G46&lt;G47,G47/G46-1,G46/G47-1)</f>
        <v>0.13138628670392816</v>
      </c>
      <c r="H51" s="435" t="str">
        <f>IF(OR(G51&gt;=0.3,G51&lt;=-0.3),"超过30%","")</f>
        <v/>
      </c>
      <c r="I51" s="434">
        <f>IF(I46&lt;I47,I47/I46-1,I46/I47-1)</f>
        <v>0.10923589068669193</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6.2268755412107302E-2</v>
      </c>
      <c r="F52" s="435" t="str">
        <f>IF(OR(E52&gt;=0.2,E52&lt;=-0.2),"超过20%","")</f>
        <v/>
      </c>
      <c r="G52" s="434">
        <f>IF(G47&lt;I47,I47/G47-1,G47/I47-1)</f>
        <v>1.6846414232858375E-2</v>
      </c>
      <c r="H52" s="435" t="str">
        <f>IF(OR(G52&gt;=0.2,G52&lt;=-0.2),"超过20%","")</f>
        <v/>
      </c>
      <c r="I52" s="434">
        <f>IF(I47&lt;E47,E47/I47-1,I47/E47-1)</f>
        <v>4.4669814972516875E-2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9.2262733092123517E-2</v>
      </c>
      <c r="F53" s="435" t="str">
        <f>IF(OR(E53&gt;=0.3,E53&lt;=-0.3),"超过30%","")</f>
        <v/>
      </c>
      <c r="G53" s="434">
        <f>IF(G46&lt;I46,I46/G46-1,G46/I46-1)</f>
        <v>3.0709101060859556E-3</v>
      </c>
      <c r="H53" s="435" t="str">
        <f>IF(OR(G53&gt;=0.3,G53&lt;=-0.3),"超过30%","")</f>
        <v/>
      </c>
      <c r="I53" s="434">
        <f>IF(I46&lt;E46,E46/I46-1,I46/E46-1)</f>
        <v>9.5616973757677304E-2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412" t="s">
        <v>1886</v>
      </c>
      <c r="H55" s="3413"/>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f>C48</f>
        <v>13038</v>
      </c>
      <c r="C56" s="610">
        <v>1</v>
      </c>
      <c r="D56" s="890">
        <v>1</v>
      </c>
      <c r="E56" s="610">
        <f>'数据-汇总表'!E8+'数据-汇总表'!E9</f>
        <v>140502.72</v>
      </c>
      <c r="F56" s="833">
        <f t="shared" ref="F56:F64" si="15">ROUND(B56*E56/10000,0)</f>
        <v>183187</v>
      </c>
      <c r="G56" s="3414"/>
      <c r="H56" s="341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f>ROUND($C$48*C57*D57,0)</f>
        <v>0</v>
      </c>
      <c r="C57" s="163">
        <f t="shared" ref="C57:C64" si="16">IF($C$55="北京市系数",I57,J57)</f>
        <v>0</v>
      </c>
      <c r="D57" s="891">
        <v>0.25</v>
      </c>
      <c r="E57" s="614"/>
      <c r="F57" s="833">
        <f t="shared" si="15"/>
        <v>0</v>
      </c>
      <c r="G57" s="2751" t="s">
        <v>1891</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f t="shared" si="17"/>
        <v>0</v>
      </c>
      <c r="C60" s="163">
        <f t="shared" si="16"/>
        <v>0</v>
      </c>
      <c r="D60" s="891">
        <v>0.25</v>
      </c>
      <c r="E60" s="209">
        <f>'数据-汇总表'!E11</f>
        <v>0</v>
      </c>
      <c r="F60" s="833">
        <f t="shared" si="15"/>
        <v>0</v>
      </c>
      <c r="G60" s="1835" t="s">
        <v>1895</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f t="shared" si="17"/>
        <v>652</v>
      </c>
      <c r="C61" s="163">
        <f t="shared" si="16"/>
        <v>0.2</v>
      </c>
      <c r="D61" s="891">
        <v>0.25</v>
      </c>
      <c r="E61" s="209">
        <f>'数据-汇总表'!E12</f>
        <v>15739.37</v>
      </c>
      <c r="F61" s="833">
        <f t="shared" si="15"/>
        <v>1026</v>
      </c>
      <c r="G61" s="839" t="s">
        <v>3391</v>
      </c>
      <c r="H61" s="834" t="str">
        <f>IF(G61="商业",项目基本情况!B37,IF(G61="办公",项目基本情况!C37,IF(G61="住宅",项目基本情况!D37,项目基本情况!E37)))</f>
        <v>八级</v>
      </c>
      <c r="I61" s="838">
        <f>SUMIF(修正!A59:A70,H61,修正!F59:F70)</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f t="shared" si="17"/>
        <v>326</v>
      </c>
      <c r="C62" s="163">
        <f t="shared" si="16"/>
        <v>0.1</v>
      </c>
      <c r="D62" s="891">
        <v>0.25</v>
      </c>
      <c r="E62" s="209">
        <f>'数据-汇总表'!E13</f>
        <v>39646.74</v>
      </c>
      <c r="F62" s="833">
        <f t="shared" si="15"/>
        <v>1292</v>
      </c>
      <c r="G62" s="839" t="s">
        <v>1899</v>
      </c>
      <c r="H62" s="834" t="str">
        <f>IF(G62="商业",项目基本情况!B37,IF(G62="办公",项目基本情况!C37,IF(G62="住宅",项目基本情况!D37,项目基本情况!E37)))</f>
        <v>八级</v>
      </c>
      <c r="I62" s="838">
        <f>SUMIF(修正!A59:A70,H62,修正!G59:G70)</f>
        <v>0.1</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f t="shared" si="17"/>
        <v>0</v>
      </c>
      <c r="C64" s="163">
        <f t="shared" si="16"/>
        <v>0</v>
      </c>
      <c r="D64" s="891">
        <v>0.25</v>
      </c>
      <c r="E64" s="209">
        <f>'数据-汇总表'!E15</f>
        <v>0</v>
      </c>
      <c r="F64" s="833">
        <f t="shared" si="15"/>
        <v>0</v>
      </c>
      <c r="G64" s="1836" t="s">
        <v>1895</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195888.83</v>
      </c>
      <c r="F65" s="617">
        <f>IF(B46="楼面地价",SUM(F56:F64),ROUND(C48*E65/10000,0))</f>
        <v>185505</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3187">
        <f>ROUND('地价-分区'!AP34,2)</f>
        <v>100</v>
      </c>
      <c r="E70" s="3187">
        <f>ROUND('地价-分区'!AP35,2)</f>
        <v>100.62</v>
      </c>
      <c r="F70" s="3187">
        <f>ROUND('地价-分区'!AP36,2)</f>
        <v>100.59</v>
      </c>
      <c r="G70" s="3187">
        <f>ROUND('地价-分区'!AP37,2)</f>
        <v>101.11</v>
      </c>
      <c r="H70" s="3187">
        <f>ROUND('地价-分区'!AP38,2)</f>
        <v>102.01</v>
      </c>
      <c r="I70" s="3187">
        <f>ROUND('地价-分区'!AP39,2)</f>
        <v>105.02</v>
      </c>
      <c r="J70" s="3187">
        <f>ROUND('地价-分区'!AP40,2)</f>
        <v>103.75</v>
      </c>
      <c r="K70" s="3187">
        <f>ROUND('地价-分区'!AP41,2)</f>
        <v>104.4</v>
      </c>
      <c r="L70" s="3187">
        <f>ROUND('地价-分区'!AP42,2)</f>
        <v>104.37</v>
      </c>
      <c r="M70" s="3188">
        <f>ROUND('地价-分区'!AP43,2)</f>
        <v>103.83</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0（含）-1</v>
      </c>
      <c r="D78" s="478" t="str">
        <f t="shared" ref="D78:L78" si="20">D79&amp;"（含）"&amp;"-"&amp;E79</f>
        <v>1（含）-1.5</v>
      </c>
      <c r="E78" s="478" t="str">
        <f t="shared" si="20"/>
        <v>1.5（含）-2</v>
      </c>
      <c r="F78" s="478" t="str">
        <f t="shared" si="20"/>
        <v>2（含）-2.5</v>
      </c>
      <c r="G78" s="478" t="str">
        <f t="shared" si="20"/>
        <v>2.5（含）-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1.5</v>
      </c>
      <c r="F79" s="480">
        <v>2</v>
      </c>
      <c r="G79" s="480">
        <v>2.5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建设内容</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t="str">
        <f>B13</f>
        <v>限价</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t="str">
        <f>B14</f>
        <v>份额</v>
      </c>
      <c r="C85" s="3194">
        <v>0.8</v>
      </c>
      <c r="D85" s="3194">
        <v>0.7</v>
      </c>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v>100</v>
      </c>
      <c r="D86" s="501">
        <v>95</v>
      </c>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95</v>
      </c>
      <c r="E88" s="475">
        <f>D88-$K15</f>
        <v>90</v>
      </c>
      <c r="F88" s="475">
        <f>E88-$K15</f>
        <v>85</v>
      </c>
      <c r="G88" s="475">
        <f>F88-$K15</f>
        <v>80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1912</v>
      </c>
      <c r="C115" s="461" t="str">
        <f>C116&amp;"(含)"&amp;"-"&amp;D116</f>
        <v>0(含)-30000</v>
      </c>
      <c r="D115" s="461" t="str">
        <f t="shared" ref="D115:M115" si="25">D116&amp;"(含)"&amp;"-"&amp;E116</f>
        <v>30000(含)-60000</v>
      </c>
      <c r="E115" s="461" t="str">
        <f t="shared" si="25"/>
        <v>60000(含)-100000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30000</v>
      </c>
      <c r="E116" s="6">
        <v>60000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98</v>
      </c>
      <c r="D117" s="521">
        <v>100</v>
      </c>
      <c r="E117" s="521">
        <v>98</v>
      </c>
      <c r="F117" s="521">
        <v>96</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51F2F-9E7B-452D-9ECC-4B6C7385BC92}">
  <dimension ref="A1:Q5"/>
  <sheetViews>
    <sheetView zoomScaleNormal="100" workbookViewId="0">
      <selection activeCell="O3" sqref="O3"/>
    </sheetView>
  </sheetViews>
  <sheetFormatPr defaultRowHeight="13.5"/>
  <cols>
    <col min="1" max="1" width="39" style="3170" customWidth="1"/>
    <col min="2" max="2" width="6.375" style="3170" bestFit="1" customWidth="1"/>
    <col min="3" max="3" width="25.625" style="3170" bestFit="1" customWidth="1"/>
    <col min="4" max="4" width="10.375" style="3170" customWidth="1"/>
    <col min="5" max="5" width="10.625" style="3170" customWidth="1"/>
    <col min="6" max="6" width="8" style="3170" bestFit="1" customWidth="1"/>
    <col min="7" max="7" width="23" style="3170" customWidth="1"/>
    <col min="8" max="8" width="6.375" style="3170" bestFit="1" customWidth="1"/>
    <col min="9" max="9" width="4.875" style="3170" customWidth="1"/>
    <col min="10" max="10" width="8" style="3170" hidden="1" customWidth="1"/>
    <col min="11" max="11" width="10.25" style="3170" bestFit="1" customWidth="1"/>
    <col min="12" max="12" width="8" style="3170" bestFit="1" customWidth="1"/>
    <col min="13" max="13" width="15.625" style="3170" customWidth="1"/>
    <col min="14" max="14" width="6.375" style="3170" customWidth="1"/>
    <col min="15" max="15" width="8.75" style="3170" customWidth="1"/>
    <col min="16" max="16" width="5.25" style="3170" customWidth="1"/>
    <col min="17" max="17" width="5.75" style="3170" customWidth="1"/>
    <col min="18" max="16384" width="9" style="3170"/>
  </cols>
  <sheetData>
    <row r="1" spans="1:17">
      <c r="A1" s="3189" t="s">
        <v>4954</v>
      </c>
      <c r="B1" s="3189" t="s">
        <v>4955</v>
      </c>
      <c r="C1" s="3189" t="s">
        <v>4956</v>
      </c>
      <c r="D1" s="3189" t="s">
        <v>4957</v>
      </c>
      <c r="E1" s="3189" t="s">
        <v>4958</v>
      </c>
      <c r="F1" s="3189" t="s">
        <v>4959</v>
      </c>
      <c r="G1" s="3189" t="s">
        <v>4960</v>
      </c>
      <c r="H1" s="3189" t="s">
        <v>4961</v>
      </c>
      <c r="I1" s="3189" t="s">
        <v>4962</v>
      </c>
      <c r="J1" s="3189" t="s">
        <v>4963</v>
      </c>
      <c r="K1" s="3189" t="s">
        <v>4964</v>
      </c>
      <c r="L1" s="3189" t="s">
        <v>4965</v>
      </c>
      <c r="M1" s="3189" t="s">
        <v>4966</v>
      </c>
      <c r="N1" s="3189" t="s">
        <v>4967</v>
      </c>
      <c r="O1" s="3189" t="s">
        <v>4968</v>
      </c>
      <c r="P1" s="3189" t="s">
        <v>4969</v>
      </c>
      <c r="Q1" s="3189" t="s">
        <v>4970</v>
      </c>
    </row>
    <row r="2" spans="1:17">
      <c r="A2" s="3189" t="s">
        <v>4971</v>
      </c>
      <c r="B2" s="3189" t="s">
        <v>3408</v>
      </c>
      <c r="C2" s="3189" t="s">
        <v>4972</v>
      </c>
      <c r="D2" s="3189">
        <v>28343.9</v>
      </c>
      <c r="E2" s="3189">
        <v>62356.59</v>
      </c>
      <c r="F2" s="3189" t="s">
        <v>4973</v>
      </c>
      <c r="G2" s="3189" t="s">
        <v>4974</v>
      </c>
      <c r="H2" s="3189" t="s">
        <v>4975</v>
      </c>
      <c r="I2" s="3189" t="s">
        <v>4976</v>
      </c>
      <c r="J2" s="3189" t="s">
        <v>4977</v>
      </c>
      <c r="K2" s="3190">
        <v>45323</v>
      </c>
      <c r="L2" s="3189" t="s">
        <v>4978</v>
      </c>
      <c r="M2" s="3189" t="s">
        <v>4979</v>
      </c>
      <c r="N2" s="3189">
        <v>95500</v>
      </c>
      <c r="O2" s="3189">
        <v>15315</v>
      </c>
      <c r="P2" s="3189">
        <v>8.74</v>
      </c>
      <c r="Q2" s="3189">
        <v>29000</v>
      </c>
    </row>
    <row r="3" spans="1:17" s="3193" customFormat="1">
      <c r="A3" s="3191" t="s">
        <v>4980</v>
      </c>
      <c r="B3" s="3191" t="s">
        <v>3408</v>
      </c>
      <c r="C3" s="3191" t="s">
        <v>4981</v>
      </c>
      <c r="D3" s="3191">
        <v>34525.83</v>
      </c>
      <c r="E3" s="3191">
        <v>86314.58</v>
      </c>
      <c r="F3" s="3191" t="s">
        <v>4973</v>
      </c>
      <c r="G3" s="3191" t="s">
        <v>4974</v>
      </c>
      <c r="H3" s="3191" t="s">
        <v>4982</v>
      </c>
      <c r="I3" s="3191" t="s">
        <v>4976</v>
      </c>
      <c r="J3" s="3191" t="s">
        <v>4977</v>
      </c>
      <c r="K3" s="3192">
        <v>45323</v>
      </c>
      <c r="L3" s="3191" t="s">
        <v>4978</v>
      </c>
      <c r="M3" s="3191" t="s">
        <v>4979</v>
      </c>
      <c r="N3" s="3191">
        <v>135500</v>
      </c>
      <c r="O3" s="3191">
        <v>15698</v>
      </c>
      <c r="P3" s="3191">
        <v>6.55</v>
      </c>
      <c r="Q3" s="3191">
        <v>30000</v>
      </c>
    </row>
    <row r="4" spans="1:17" s="3193" customFormat="1">
      <c r="A4" s="3191" t="s">
        <v>4983</v>
      </c>
      <c r="B4" s="3191" t="s">
        <v>3408</v>
      </c>
      <c r="C4" s="3191" t="s">
        <v>4984</v>
      </c>
      <c r="D4" s="3191">
        <v>59523.360000000001</v>
      </c>
      <c r="E4" s="3191">
        <v>130951.38</v>
      </c>
      <c r="F4" s="3191" t="s">
        <v>4973</v>
      </c>
      <c r="G4" s="3191" t="s">
        <v>4985</v>
      </c>
      <c r="H4" s="3191" t="s">
        <v>4975</v>
      </c>
      <c r="I4" s="3191" t="s">
        <v>4976</v>
      </c>
      <c r="J4" s="3191" t="s">
        <v>4977</v>
      </c>
      <c r="K4" s="3192">
        <v>45039</v>
      </c>
      <c r="L4" s="3191" t="s">
        <v>4978</v>
      </c>
      <c r="M4" s="3191" t="s">
        <v>4986</v>
      </c>
      <c r="N4" s="3191">
        <v>188205.82</v>
      </c>
      <c r="O4" s="3191">
        <v>14372</v>
      </c>
      <c r="P4" s="3191">
        <v>0</v>
      </c>
      <c r="Q4" s="3191">
        <v>29000</v>
      </c>
    </row>
    <row r="5" spans="1:17" s="3193" customFormat="1">
      <c r="A5" s="3191" t="s">
        <v>4987</v>
      </c>
      <c r="B5" s="3191" t="s">
        <v>3408</v>
      </c>
      <c r="C5" s="3191" t="s">
        <v>4988</v>
      </c>
      <c r="D5" s="3191">
        <v>87287.8</v>
      </c>
      <c r="E5" s="3191">
        <v>192033.17</v>
      </c>
      <c r="F5" s="3191" t="s">
        <v>4973</v>
      </c>
      <c r="G5" s="3191" t="s">
        <v>4985</v>
      </c>
      <c r="H5" s="3191" t="s">
        <v>4975</v>
      </c>
      <c r="I5" s="3191" t="s">
        <v>4976</v>
      </c>
      <c r="J5" s="3191" t="s">
        <v>4977</v>
      </c>
      <c r="K5" s="3192">
        <v>45040</v>
      </c>
      <c r="L5" s="3191" t="s">
        <v>4978</v>
      </c>
      <c r="M5" s="3191" t="s">
        <v>4979</v>
      </c>
      <c r="N5" s="3191">
        <v>275143.78999999998</v>
      </c>
      <c r="O5" s="3191">
        <v>14328</v>
      </c>
      <c r="P5" s="3191">
        <v>0</v>
      </c>
      <c r="Q5" s="3191">
        <v>29000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Normal="100" workbookViewId="0">
      <selection activeCell="G34" sqref="G34"/>
    </sheetView>
  </sheetViews>
  <sheetFormatPr defaultRowHeight="13.5"/>
  <cols>
    <col min="1" max="1" width="13.875" customWidth="1"/>
    <col min="11" max="17" width="0" hidden="1" customWidth="1"/>
    <col min="25" max="30" width="0" hidden="1" customWidth="1"/>
  </cols>
  <sheetData>
    <row r="1" spans="1:44">
      <c r="A1" s="2938">
        <f>基准地价修正!G23</f>
        <v>45962</v>
      </c>
      <c r="B1" s="2930" t="s">
        <v>3365</v>
      </c>
      <c r="C1" s="2931"/>
      <c r="D1" s="2931"/>
      <c r="E1" s="2931"/>
      <c r="F1" s="2931"/>
      <c r="G1" s="2931"/>
      <c r="H1" s="2931"/>
      <c r="I1" s="2931"/>
      <c r="J1" s="2897"/>
      <c r="K1" s="2931" t="s">
        <v>454</v>
      </c>
      <c r="L1" s="2931"/>
      <c r="M1" s="2931"/>
      <c r="N1" s="2931"/>
      <c r="O1" s="2931"/>
      <c r="P1" s="2931"/>
      <c r="Q1" s="2897"/>
      <c r="R1" s="3450" t="s">
        <v>456</v>
      </c>
      <c r="S1" s="3451"/>
      <c r="T1" s="3451"/>
      <c r="U1" s="3451"/>
      <c r="V1" s="3451"/>
      <c r="W1" s="3451"/>
      <c r="X1" s="2897"/>
      <c r="Y1" s="3450" t="s">
        <v>457</v>
      </c>
      <c r="Z1" s="3451"/>
      <c r="AA1" s="3451"/>
      <c r="AB1" s="3451"/>
      <c r="AC1" s="3451"/>
      <c r="AD1" s="3451"/>
    </row>
    <row r="2" spans="1:44" s="2010" customFormat="1" ht="14.25" thickBot="1">
      <c r="B2" s="2882"/>
      <c r="C2" s="2883"/>
      <c r="D2" s="2011" t="s">
        <v>2800</v>
      </c>
      <c r="E2" s="2012" t="s">
        <v>2801</v>
      </c>
      <c r="F2" s="2012" t="s">
        <v>2802</v>
      </c>
      <c r="G2" s="2012" t="s">
        <v>2803</v>
      </c>
      <c r="H2" s="2012" t="s">
        <v>2804</v>
      </c>
      <c r="I2" s="2012" t="s">
        <v>2621</v>
      </c>
      <c r="J2" s="2884"/>
      <c r="K2" s="2011" t="s">
        <v>2800</v>
      </c>
      <c r="L2" s="2012" t="s">
        <v>2801</v>
      </c>
      <c r="M2" s="2012" t="s">
        <v>2802</v>
      </c>
      <c r="N2" s="2012" t="s">
        <v>2803</v>
      </c>
      <c r="O2" s="2012" t="s">
        <v>2805</v>
      </c>
      <c r="P2" s="2012" t="s">
        <v>2621</v>
      </c>
      <c r="Q2" s="2884"/>
      <c r="R2" s="2011" t="s">
        <v>2800</v>
      </c>
      <c r="S2" s="2012" t="s">
        <v>2801</v>
      </c>
      <c r="T2" s="2012" t="s">
        <v>2802</v>
      </c>
      <c r="U2" s="2012" t="s">
        <v>2806</v>
      </c>
      <c r="V2" s="2012" t="s">
        <v>2807</v>
      </c>
      <c r="W2" s="2012" t="s">
        <v>2621</v>
      </c>
      <c r="X2" s="2884"/>
      <c r="Y2" s="2011" t="s">
        <v>2800</v>
      </c>
      <c r="Z2" s="2012" t="s">
        <v>2801</v>
      </c>
      <c r="AA2" s="2012" t="s">
        <v>2802</v>
      </c>
      <c r="AB2" s="2012" t="s">
        <v>2808</v>
      </c>
      <c r="AC2" s="2012" t="s">
        <v>2807</v>
      </c>
      <c r="AD2" s="2012" t="s">
        <v>2621</v>
      </c>
      <c r="AF2" t="s">
        <v>3390</v>
      </c>
      <c r="AG2" t="s">
        <v>673</v>
      </c>
      <c r="AH2" t="s">
        <v>21</v>
      </c>
      <c r="AI2" t="s">
        <v>3391</v>
      </c>
      <c r="AJ2" t="s">
        <v>3</v>
      </c>
      <c r="AK2" t="s">
        <v>3392</v>
      </c>
      <c r="AM2" t="s">
        <v>3390</v>
      </c>
      <c r="AN2" t="s">
        <v>673</v>
      </c>
      <c r="AO2" t="s">
        <v>21</v>
      </c>
      <c r="AP2" t="s">
        <v>3391</v>
      </c>
      <c r="AQ2" t="s">
        <v>3</v>
      </c>
      <c r="AR2" t="s">
        <v>3392</v>
      </c>
    </row>
    <row r="3" spans="1:44" s="2887" customFormat="1" ht="12.75">
      <c r="A3" s="2885" t="s">
        <v>2809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3389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3368</v>
      </c>
    </row>
    <row r="27" spans="1:44">
      <c r="I27" s="1405" t="s">
        <v>2815</v>
      </c>
    </row>
    <row r="29" spans="1:44" s="2009" customFormat="1" ht="12.75">
      <c r="B29" s="2930" t="s">
        <v>3366</v>
      </c>
      <c r="C29" s="2931"/>
      <c r="D29" s="2931"/>
      <c r="E29" s="2931"/>
      <c r="F29" s="2931"/>
      <c r="G29" s="2931"/>
      <c r="H29" s="2931"/>
      <c r="I29" s="2931"/>
      <c r="J29" s="2897"/>
      <c r="K29" s="2931" t="s">
        <v>2816</v>
      </c>
      <c r="L29" s="2931"/>
      <c r="M29" s="2931"/>
      <c r="N29" s="2931"/>
      <c r="O29" s="2931"/>
      <c r="P29" s="2931"/>
      <c r="Q29" s="2897"/>
      <c r="R29" s="3450" t="s">
        <v>2817</v>
      </c>
      <c r="S29" s="3451"/>
      <c r="T29" s="3451"/>
      <c r="U29" s="3451"/>
      <c r="V29" s="3451"/>
      <c r="W29" s="3451"/>
      <c r="X29" s="2897"/>
      <c r="Y29" s="3450" t="s">
        <v>2818</v>
      </c>
      <c r="Z29" s="3451"/>
      <c r="AA29" s="3451"/>
      <c r="AB29" s="3451"/>
      <c r="AC29" s="3451"/>
      <c r="AD29" s="3451"/>
    </row>
    <row r="30" spans="1:44" s="2010" customFormat="1" ht="14.25" thickBot="1">
      <c r="B30" s="2882"/>
      <c r="C30" s="2883"/>
      <c r="D30" s="2011" t="s">
        <v>2819</v>
      </c>
      <c r="E30" s="2012" t="s">
        <v>2820</v>
      </c>
      <c r="F30" s="2012" t="s">
        <v>2821</v>
      </c>
      <c r="G30" s="2012" t="s">
        <v>2822</v>
      </c>
      <c r="H30" s="2012"/>
      <c r="I30" s="2012" t="s">
        <v>2823</v>
      </c>
      <c r="J30" s="2884"/>
      <c r="K30" s="2011" t="s">
        <v>2819</v>
      </c>
      <c r="L30" s="2012" t="s">
        <v>2820</v>
      </c>
      <c r="M30" s="2012" t="s">
        <v>2821</v>
      </c>
      <c r="N30" s="2012" t="s">
        <v>2822</v>
      </c>
      <c r="O30" s="2012"/>
      <c r="P30" s="2012" t="s">
        <v>2823</v>
      </c>
      <c r="Q30" s="2884"/>
      <c r="R30" s="2011" t="s">
        <v>2819</v>
      </c>
      <c r="S30" s="2012" t="s">
        <v>2820</v>
      </c>
      <c r="T30" s="2012" t="s">
        <v>2821</v>
      </c>
      <c r="U30" s="2012" t="s">
        <v>2822</v>
      </c>
      <c r="V30" s="2012"/>
      <c r="W30" s="2012" t="s">
        <v>2823</v>
      </c>
      <c r="X30" s="2884"/>
      <c r="Y30" s="2011" t="s">
        <v>2819</v>
      </c>
      <c r="Z30" s="2012" t="s">
        <v>2820</v>
      </c>
      <c r="AA30" s="2012" t="s">
        <v>2821</v>
      </c>
      <c r="AB30" s="2012" t="s">
        <v>2822</v>
      </c>
      <c r="AC30" s="2012"/>
      <c r="AD30" s="2012" t="s">
        <v>2823</v>
      </c>
      <c r="AG30" t="s">
        <v>673</v>
      </c>
      <c r="AH30" t="s">
        <v>21</v>
      </c>
      <c r="AI30" t="s">
        <v>3391</v>
      </c>
      <c r="AJ30"/>
      <c r="AK30" t="s">
        <v>3392</v>
      </c>
      <c r="AN30" t="s">
        <v>673</v>
      </c>
      <c r="AO30" t="s">
        <v>21</v>
      </c>
      <c r="AP30" t="s">
        <v>3391</v>
      </c>
      <c r="AQ30"/>
      <c r="AR30" t="s">
        <v>3392</v>
      </c>
    </row>
    <row r="31" spans="1:44" s="2887" customFormat="1" ht="12.75">
      <c r="A31" s="2885" t="s">
        <v>2824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3389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304210</v>
      </c>
      <c r="C2" s="268" t="s">
        <v>1595</v>
      </c>
      <c r="D2" s="268"/>
      <c r="E2" s="2568"/>
      <c r="F2" s="2568"/>
      <c r="G2" s="2568"/>
      <c r="H2" s="2568"/>
      <c r="I2" s="2568"/>
      <c r="J2" s="2568"/>
      <c r="K2" s="2568"/>
    </row>
    <row r="3" spans="1:33" ht="18" customHeight="1" thickBot="1">
      <c r="A3" s="195" t="s">
        <v>1464</v>
      </c>
      <c r="B3" s="196">
        <f ca="1">ROUND(B2*10000/IF(C1="",'数据-汇总表'!E3,INDIRECT("'数据-取费表'!K"&amp;$K$1)),0)</f>
        <v>15530</v>
      </c>
      <c r="C3" s="268" t="s">
        <v>1596</v>
      </c>
      <c r="D3" s="268"/>
      <c r="E3" s="2568"/>
      <c r="F3" s="2568"/>
      <c r="G3" s="2568"/>
      <c r="H3" s="2568"/>
      <c r="I3" s="2568"/>
      <c r="J3" s="2568"/>
      <c r="K3" s="2568"/>
    </row>
    <row r="4" spans="1:33" s="739" customFormat="1" ht="16.5" customHeight="1">
      <c r="A4" s="736" t="s">
        <v>1597</v>
      </c>
      <c r="B4" s="737"/>
      <c r="C4" s="775">
        <f ca="1">SUM(C8:K8)</f>
        <v>430849</v>
      </c>
      <c r="D4" s="737"/>
      <c r="E4" s="737"/>
      <c r="F4" s="737"/>
      <c r="G4" s="737"/>
      <c r="H4" s="737"/>
      <c r="I4" s="737"/>
      <c r="J4" s="737"/>
      <c r="K4" s="738"/>
    </row>
    <row r="5" spans="1:33" s="743" customFormat="1" ht="15">
      <c r="A5" s="740" t="s">
        <v>1598</v>
      </c>
      <c r="B5" s="741" t="s">
        <v>1599</v>
      </c>
      <c r="C5" s="1718" t="s">
        <v>3391</v>
      </c>
      <c r="D5" s="1718" t="s">
        <v>3411</v>
      </c>
      <c r="E5" s="1718" t="s">
        <v>3412</v>
      </c>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v>29000</v>
      </c>
      <c r="D6" s="745">
        <f ca="1">收益法!B3</f>
        <v>4395</v>
      </c>
      <c r="E6" s="745">
        <f>'比较法-车位'!B3</f>
        <v>4155</v>
      </c>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140502.72</v>
      </c>
      <c r="D7" s="269">
        <f>SUMIF('数据-汇总表'!$C19:$C33,假设开发法!D5,'数据-汇总表'!$E19:$E33)</f>
        <v>15739.37</v>
      </c>
      <c r="E7" s="269">
        <f>SUMIF('数据-汇总表'!$C19:$C33,假设开发法!E5,'数据-汇总表'!$E19:$E33)</f>
        <v>39646.74</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ROUND(C6*C7/10000,0)</f>
        <v>407458</v>
      </c>
      <c r="D8" s="776">
        <f ca="1">收益法!B2</f>
        <v>6917</v>
      </c>
      <c r="E8" s="776">
        <f>'比较法-车位'!B2</f>
        <v>16474</v>
      </c>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41583</v>
      </c>
      <c r="D11" s="754"/>
      <c r="E11" s="138"/>
      <c r="F11" s="764">
        <f ca="1">1-IF('数据-取费表'!B24=0,1,IF(C1="",'数据-取费表'!N16,INDIRECT("'数据-取费表'!n"&amp;$K$1)))</f>
        <v>0.44999999999999996</v>
      </c>
      <c r="G11" s="5"/>
      <c r="H11" s="749"/>
      <c r="I11" s="749"/>
      <c r="J11" s="749"/>
      <c r="K11" s="750"/>
    </row>
    <row r="12" spans="1:33" s="755" customFormat="1" ht="13.5" customHeight="1">
      <c r="A12" s="752" t="s">
        <v>636</v>
      </c>
      <c r="B12" s="753" t="s">
        <v>1613</v>
      </c>
      <c r="C12" s="21">
        <f ca="1">ROUND(C11*F12,0)</f>
        <v>2079</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1581</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1763</v>
      </c>
      <c r="D14" s="796">
        <f ca="1">IF(C1="",'数据-汇总表'!E3,INDIRECT("'数据-取费表'!K"&amp;$K$1)+INDIRECT("'数据-取费表'!S"&amp;$K$1))</f>
        <v>195888.83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832</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47838</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979</v>
      </c>
      <c r="D17" s="796">
        <f ca="1">D14</f>
        <v>195888.83</v>
      </c>
      <c r="E17" s="21">
        <f>'数据-取费表'!B32</f>
        <v>50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3356</v>
      </c>
      <c r="D18" s="796"/>
      <c r="E18" s="21"/>
      <c r="F18" s="756"/>
      <c r="G18" s="1720"/>
      <c r="H18" s="1106"/>
      <c r="I18" s="1721" t="s">
        <v>1625</v>
      </c>
      <c r="J18" s="759"/>
      <c r="K18" s="760"/>
    </row>
    <row r="19" spans="1:33" s="755" customFormat="1" ht="13.5" customHeight="1">
      <c r="A19" s="752" t="s">
        <v>360</v>
      </c>
      <c r="B19" s="753" t="s">
        <v>1626</v>
      </c>
      <c r="C19" s="21">
        <f ca="1">ROUND(D19*E19/10000,0)</f>
        <v>2248</v>
      </c>
      <c r="D19" s="796">
        <f ca="1">IF(C1="",'数据-汇总表'!E5,IF(INDIRECT("'数据-取费表'!c"&amp;$K$1)="住宅",INDIRECT("'数据-取费表'!k"&amp;$K$1),0))</f>
        <v>140502.72</v>
      </c>
      <c r="E19" s="21">
        <f>'数据-取费表'!B27</f>
        <v>160</v>
      </c>
      <c r="F19" s="756"/>
      <c r="G19" s="12"/>
      <c r="H19" s="1108"/>
      <c r="I19" s="761"/>
      <c r="J19" s="761"/>
      <c r="K19" s="762"/>
    </row>
    <row r="20" spans="1:33" s="755" customFormat="1" ht="13.5" customHeight="1">
      <c r="A20" s="752" t="s">
        <v>361</v>
      </c>
      <c r="B20" s="753" t="s">
        <v>1627</v>
      </c>
      <c r="C20" s="21">
        <f ca="1">ROUND(D20*E20/10000,0)</f>
        <v>1108</v>
      </c>
      <c r="D20" s="796">
        <f ca="1">IF(C1="",'数据-汇总表'!E6,IF(INDIRECT("'数据-取费表'!c"&amp;$K$1)="住宅",INDIRECT("'数据-取费表'!s"&amp;$K$1),INDIRECT("'数据-取费表'!k"&amp;$K$1)+INDIRECT("'数据-取费表'!s"&amp;$K$1)))</f>
        <v>55386.109999999986</v>
      </c>
      <c r="E20" s="21">
        <f>'数据-取费表'!B28</f>
        <v>200</v>
      </c>
      <c r="F20" s="756"/>
      <c r="G20" s="12"/>
      <c r="H20" s="761"/>
      <c r="I20" s="761"/>
      <c r="J20" s="761"/>
      <c r="K20" s="762"/>
    </row>
    <row r="21" spans="1:33" s="755" customFormat="1" ht="13.5" customHeight="1">
      <c r="A21" s="744" t="s">
        <v>357</v>
      </c>
      <c r="B21" s="765" t="s">
        <v>1628</v>
      </c>
      <c r="C21" s="766">
        <f ca="1">C16+C17+C18</f>
        <v>52173</v>
      </c>
      <c r="D21" s="767"/>
      <c r="E21" s="273"/>
      <c r="F21" s="273"/>
      <c r="G21" s="123" t="s">
        <v>1629</v>
      </c>
      <c r="H21" s="759"/>
      <c r="I21" s="759"/>
      <c r="J21" s="759"/>
      <c r="K21" s="760"/>
    </row>
    <row r="22" spans="1:33" s="755" customFormat="1" ht="13.5" customHeight="1">
      <c r="A22" s="744" t="s">
        <v>1601</v>
      </c>
      <c r="B22" s="765" t="s">
        <v>1630</v>
      </c>
      <c r="C22" s="766">
        <f ca="1">ROUND(C21*F22,0)</f>
        <v>1043</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3878</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1386</v>
      </c>
      <c r="D25" s="272">
        <f ca="1">C26</f>
        <v>5.0599999999999999E-2</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5.0599999999999999E-2</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1386</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5709</v>
      </c>
      <c r="D28" s="272">
        <f ca="1">C29</f>
        <v>5.1499999999999997E-2</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5.1499999999999997E-2</v>
      </c>
      <c r="D29" s="276"/>
      <c r="E29" s="277"/>
      <c r="F29" s="282"/>
      <c r="G29" s="123" t="s">
        <v>1644</v>
      </c>
      <c r="H29" s="759"/>
      <c r="I29" s="759"/>
      <c r="J29" s="759"/>
      <c r="K29" s="760"/>
    </row>
    <row r="30" spans="1:33" s="283" customFormat="1" ht="13.5" customHeight="1">
      <c r="A30" s="752" t="s">
        <v>359</v>
      </c>
      <c r="B30" s="773" t="s">
        <v>1645</v>
      </c>
      <c r="C30" s="284">
        <f ca="1">ROUND((C21+C22+C23)*F28,0)</f>
        <v>5709</v>
      </c>
      <c r="D30" s="276"/>
      <c r="E30" s="277"/>
      <c r="F30" s="282"/>
      <c r="G30" s="123"/>
      <c r="H30" s="759"/>
      <c r="I30" s="759"/>
      <c r="J30" s="759"/>
      <c r="K30" s="760"/>
    </row>
    <row r="31" spans="1:33" s="755" customFormat="1" ht="13.5" customHeight="1" thickBot="1">
      <c r="A31" s="1724" t="s">
        <v>1646</v>
      </c>
      <c r="B31" s="783" t="s">
        <v>1647</v>
      </c>
      <c r="C31" s="784">
        <f ca="1">ROUND(C4*F31/(1+'数据-取费表'!C42),0)</f>
        <v>22568</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304210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C43" sqref="C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4999</v>
      </c>
      <c r="E1" s="1272" t="s">
        <v>678</v>
      </c>
      <c r="F1" s="999">
        <f ca="1">J53</f>
        <v>40.65</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6917</v>
      </c>
      <c r="C2" s="1289" t="s">
        <v>805</v>
      </c>
      <c r="D2" s="1289"/>
      <c r="E2" s="1295"/>
      <c r="F2" s="1296"/>
      <c r="G2" s="2479"/>
      <c r="H2" s="2469"/>
      <c r="I2" s="2469"/>
      <c r="J2" s="2469"/>
      <c r="K2" s="2470"/>
      <c r="L2" s="2469"/>
      <c r="M2" s="2469"/>
    </row>
    <row r="3" spans="1:37" ht="18" customHeight="1" thickBot="1">
      <c r="A3" s="1297" t="s">
        <v>806</v>
      </c>
      <c r="B3" s="1298">
        <f ca="1">IF(ISERROR(B2*10000/F43),0,ROUND(B2*10000/F43,0))</f>
        <v>4395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488</v>
      </c>
      <c r="D5" s="1273" t="s">
        <v>693</v>
      </c>
      <c r="E5" s="1008"/>
      <c r="F5" s="1009"/>
      <c r="G5" s="1292"/>
      <c r="H5" s="291">
        <v>1</v>
      </c>
      <c r="I5" s="292" t="s">
        <v>692</v>
      </c>
      <c r="J5" s="1007">
        <f ca="1">J6+J10+J12</f>
        <v>0</v>
      </c>
      <c r="K5" s="1273" t="s">
        <v>693</v>
      </c>
      <c r="L5" s="1008"/>
      <c r="M5" s="1009"/>
    </row>
    <row r="6" spans="1:37" ht="18" customHeight="1">
      <c r="A6" s="1006" t="s">
        <v>398</v>
      </c>
      <c r="B6" s="3454" t="s">
        <v>694</v>
      </c>
      <c r="C6" s="1011">
        <f ca="1">ROUND(F6*F8*F7*(1-F9)/10000,0)</f>
        <v>488</v>
      </c>
      <c r="D6" s="147" t="s">
        <v>2108</v>
      </c>
      <c r="E6" s="294" t="s">
        <v>696</v>
      </c>
      <c r="F6" s="295">
        <f ca="1">INDIRECT("'数据-取费表'!u"&amp;$G$1)</f>
        <v>1</v>
      </c>
      <c r="G6" s="1292"/>
      <c r="H6" s="1006" t="s">
        <v>398</v>
      </c>
      <c r="I6" s="3454" t="s">
        <v>694</v>
      </c>
      <c r="J6" s="293">
        <f ca="1">ROUND(M6*M8*M7*(1-M9)/10000,0)</f>
        <v>0</v>
      </c>
      <c r="K6" s="147" t="s">
        <v>2107</v>
      </c>
      <c r="L6" s="294" t="s">
        <v>696</v>
      </c>
      <c r="M6" s="295">
        <f ca="1">INDIRECT("'数据-取费表'!z"&amp;$G$1)</f>
        <v>0</v>
      </c>
    </row>
    <row r="7" spans="1:37" ht="18" customHeight="1">
      <c r="A7" s="1010"/>
      <c r="B7" s="3455"/>
      <c r="C7" s="1012"/>
      <c r="D7" s="299"/>
      <c r="E7" s="1013" t="s">
        <v>697</v>
      </c>
      <c r="F7" s="295">
        <f ca="1">IF(INDIRECT("'数据-取费表'!ah"&amp;$G$1)="",INDIRECT("'数据-取费表'!k"&amp;$G$1),INDIRECT("'数据-取费表'!ah"&amp;$G$1))</f>
        <v>15739.37</v>
      </c>
      <c r="G7" s="1292"/>
      <c r="H7" s="296"/>
      <c r="I7" s="3455"/>
      <c r="J7" s="298"/>
      <c r="K7" s="299"/>
      <c r="L7" s="294" t="s">
        <v>697</v>
      </c>
      <c r="M7" s="295">
        <f ca="1">F7</f>
        <v>15739.37</v>
      </c>
    </row>
    <row r="8" spans="1:37" ht="18" customHeight="1">
      <c r="A8" s="296"/>
      <c r="B8" s="3455"/>
      <c r="C8" s="298"/>
      <c r="D8" s="299"/>
      <c r="E8" s="294" t="s">
        <v>698</v>
      </c>
      <c r="F8" s="295">
        <f ca="1">INDIRECT("'数据-取费表'!ai"&amp;$G$1)</f>
        <v>365</v>
      </c>
      <c r="G8" s="1292"/>
      <c r="H8" s="296"/>
      <c r="I8" s="3455"/>
      <c r="J8" s="298"/>
      <c r="K8" s="299"/>
      <c r="L8" s="294" t="s">
        <v>698</v>
      </c>
      <c r="M8" s="295">
        <f ca="1">INDIRECT("'数据-取费表'!ai"&amp;$G$1)</f>
        <v>365</v>
      </c>
    </row>
    <row r="9" spans="1:37" ht="18" customHeight="1">
      <c r="A9" s="296"/>
      <c r="B9" s="3456"/>
      <c r="C9" s="298"/>
      <c r="D9" s="299"/>
      <c r="E9" s="294" t="s">
        <v>699</v>
      </c>
      <c r="F9" s="304">
        <f ca="1">INDIRECT("'数据-取费表'!w"&amp;$G$1)</f>
        <v>0.15</v>
      </c>
      <c r="G9" s="1292"/>
      <c r="H9" s="296"/>
      <c r="I9" s="34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8543</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6296</v>
      </c>
      <c r="D14" s="1257" t="s">
        <v>708</v>
      </c>
      <c r="E14" s="1255"/>
      <c r="F14" s="311"/>
      <c r="G14" s="1292"/>
      <c r="H14" s="928" t="s">
        <v>398</v>
      </c>
      <c r="I14" s="294" t="s">
        <v>709</v>
      </c>
      <c r="J14" s="21">
        <f ca="1">C29</f>
        <v>8543</v>
      </c>
      <c r="K14" s="12"/>
      <c r="L14" s="759"/>
      <c r="M14" s="760"/>
    </row>
    <row r="15" spans="1:37" s="1304" customFormat="1" ht="18" customHeight="1" thickBot="1">
      <c r="A15" s="928" t="s">
        <v>399</v>
      </c>
      <c r="B15" s="294" t="s">
        <v>710</v>
      </c>
      <c r="C15" s="21">
        <f ca="1">ROUND(C14*F15,0)</f>
        <v>315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v>
      </c>
      <c r="K16" s="1024" t="s">
        <v>715</v>
      </c>
      <c r="L16" s="1025"/>
      <c r="M16" s="1009"/>
    </row>
    <row r="17" spans="1:37" s="1304" customFormat="1" ht="18" customHeight="1">
      <c r="A17" s="928" t="s">
        <v>681</v>
      </c>
      <c r="B17" s="294" t="s">
        <v>716</v>
      </c>
      <c r="C17" s="21">
        <f ca="1">ROUND(F17*(F43+INDIRECT("'数据-取费表'!S"&amp;$G$1))/10000,0)</f>
        <v>315</v>
      </c>
      <c r="D17" s="294" t="s">
        <v>717</v>
      </c>
      <c r="E17" s="294" t="s">
        <v>718</v>
      </c>
      <c r="F17" s="23">
        <f>'数据-取费表'!B35</f>
        <v>200</v>
      </c>
      <c r="G17" s="1303"/>
      <c r="H17" s="928" t="s">
        <v>398</v>
      </c>
      <c r="I17" s="294" t="s">
        <v>719</v>
      </c>
      <c r="J17" s="2140">
        <f ca="1">ROUND(IF(AND(项目基本情况!B11="自然人",项目基本情况!B10="北京市"),J6*M17/(1+'数据-取费表'!C42),J18+J19+J20),2)</f>
        <v>0.74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7052</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141</v>
      </c>
      <c r="D20" s="315" t="s">
        <v>729</v>
      </c>
      <c r="E20" s="294" t="s">
        <v>712</v>
      </c>
      <c r="F20" s="314">
        <f>'数据-取费表'!B37</f>
        <v>0.02</v>
      </c>
      <c r="G20" s="1303"/>
      <c r="H20" s="928" t="s">
        <v>680</v>
      </c>
      <c r="I20" s="147" t="s">
        <v>730</v>
      </c>
      <c r="J20" s="22">
        <f ca="1">ROUND(M20*M21/10000,2)</f>
        <v>0.74</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4955.53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354</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v>
      </c>
      <c r="K25" s="1032" t="s">
        <v>753</v>
      </c>
      <c r="L25" s="1033"/>
      <c r="M25" s="1034"/>
    </row>
    <row r="26" spans="1:37">
      <c r="A26" s="928" t="s">
        <v>397</v>
      </c>
      <c r="B26" s="294" t="s">
        <v>754</v>
      </c>
      <c r="C26" s="21">
        <f ca="1">ROUND((C19+C20)*F26,0)</f>
        <v>360</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8543</v>
      </c>
      <c r="D29" s="1029"/>
      <c r="E29" s="1027"/>
      <c r="F29" s="1030"/>
      <c r="G29" s="1303"/>
      <c r="H29" s="325" t="s">
        <v>396</v>
      </c>
      <c r="I29" s="326" t="s">
        <v>768</v>
      </c>
      <c r="J29" s="327">
        <f ca="1">ROUND(J26/(1+F40)^F41,0)</f>
        <v>0</v>
      </c>
      <c r="K29" s="328" t="s">
        <v>769</v>
      </c>
      <c r="L29" s="329"/>
      <c r="M29" s="330">
        <f ca="1">INDIRECT("'数据-取费表'!k"&amp;$G$1)</f>
        <v>15739.37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82.07</v>
      </c>
      <c r="D31" s="1257" t="s">
        <v>720</v>
      </c>
      <c r="E31" s="1256" t="s">
        <v>770</v>
      </c>
      <c r="F31" s="2139" t="str">
        <f>IF(项目基本情况!B11="企业","——",IF(M47="住宅",IF(F6*F7*F8/12/(1+'数据-取费表'!F30)&gt;100000,4%,2.5%),IF(F6*F7*F8/12/(1+'数据-取费表'!F30)&gt;100000,12%,7%)))</f>
        <v>——</v>
      </c>
      <c r="G31" s="1292"/>
      <c r="H31" s="2570" t="s">
        <v>2296</v>
      </c>
      <c r="I31" s="1305"/>
      <c r="J31" s="1306"/>
      <c r="K31" s="121"/>
      <c r="L31" s="2472"/>
      <c r="M31" s="2473"/>
    </row>
    <row r="32" spans="1:37" ht="18" customHeight="1">
      <c r="A32" s="928" t="s">
        <v>397</v>
      </c>
      <c r="B32" s="294" t="s">
        <v>723</v>
      </c>
      <c r="C32" s="21">
        <f ca="1">IF(项目基本情况!B11="自然人","——",ROUND(C6*F32/(1+'数据-取费表'!C42),2))</f>
        <v>25.56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55.77</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0.74</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4955.53</v>
      </c>
      <c r="G35" s="1292"/>
      <c r="H35" s="2471"/>
      <c r="I35" s="1305"/>
      <c r="J35" s="1306"/>
      <c r="K35" s="2475"/>
      <c r="L35" s="2474"/>
      <c r="M35" s="2474"/>
    </row>
    <row r="36" spans="1:18" ht="18" customHeight="1">
      <c r="A36" s="1039" t="s">
        <v>402</v>
      </c>
      <c r="B36" s="294" t="s">
        <v>738</v>
      </c>
      <c r="C36" s="21">
        <f ca="1">ROUND(C29*F36,2)</f>
        <v>17.09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8.5399999999999991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375</v>
      </c>
      <c r="D39" s="1032" t="s">
        <v>773</v>
      </c>
      <c r="E39" s="1033"/>
      <c r="F39" s="1034"/>
      <c r="G39" s="1292"/>
      <c r="H39" s="2474"/>
      <c r="I39" s="1305"/>
      <c r="J39" s="1306"/>
      <c r="K39" s="2472"/>
      <c r="L39" s="2474"/>
      <c r="M39" s="2474"/>
    </row>
    <row r="40" spans="1:18" ht="18" customHeight="1">
      <c r="A40" s="291" t="s">
        <v>395</v>
      </c>
      <c r="B40" s="292" t="s">
        <v>774</v>
      </c>
      <c r="C40" s="293">
        <f ca="1">ROUND(C39*(1-((1+F42)/(1+F40))^F41)/(F40-F42),0)</f>
        <v>6917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40.65</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4395</v>
      </c>
      <c r="D43" s="328" t="s">
        <v>777</v>
      </c>
      <c r="E43" s="329" t="s">
        <v>778</v>
      </c>
      <c r="F43" s="330">
        <f ca="1">INDIRECT("'数据-取费表'!k"&amp;$G$1)</f>
        <v>15739.37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-7352</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5000</v>
      </c>
      <c r="K47" s="1323" t="s">
        <v>816</v>
      </c>
      <c r="L47" s="1324">
        <f ca="1">INDIRECT("'数据-取费表'!d"&amp;$G$1)</f>
        <v>50</v>
      </c>
      <c r="M47" s="1288" t="str">
        <f>IF(ISNUMBER(FIND("住宅",C1)),"住宅","非住宅")</f>
        <v>非住宅</v>
      </c>
      <c r="O47" s="1325" t="s">
        <v>403</v>
      </c>
      <c r="P47" s="1326" t="s">
        <v>817</v>
      </c>
      <c r="Q47" s="1327">
        <f ca="1">C40+J29</f>
        <v>6917</v>
      </c>
      <c r="R47" s="1327" t="s">
        <v>818</v>
      </c>
    </row>
    <row r="48" spans="1:18" s="1292" customFormat="1" ht="28.5" thickBot="1">
      <c r="A48" s="1047" t="s">
        <v>438</v>
      </c>
      <c r="B48" s="292" t="s">
        <v>692</v>
      </c>
      <c r="C48" s="1268">
        <f ca="1">C49+C53+C55</f>
        <v>0</v>
      </c>
      <c r="D48" s="1049"/>
      <c r="E48" s="1050"/>
      <c r="F48" s="908"/>
      <c r="G48" s="681"/>
      <c r="H48" s="682"/>
      <c r="I48" s="1328" t="s">
        <v>819</v>
      </c>
      <c r="J48" s="1329" t="s">
        <v>5001</v>
      </c>
      <c r="K48" s="1330" t="s">
        <v>820</v>
      </c>
      <c r="L48" s="1331">
        <f ca="1">INDIRECT("'数据-取费表'!f"&amp;$G$1)</f>
        <v>42.15</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2027</v>
      </c>
      <c r="K49" s="1330" t="s">
        <v>824</v>
      </c>
      <c r="L49" s="1333"/>
      <c r="O49" s="1334" t="s">
        <v>405</v>
      </c>
      <c r="P49" s="1326" t="s">
        <v>825</v>
      </c>
      <c r="Q49" s="1327">
        <f ca="1">C29</f>
        <v>8543</v>
      </c>
      <c r="R49" s="1327" t="s">
        <v>818</v>
      </c>
    </row>
    <row r="50" spans="1:18" s="1292" customFormat="1" ht="13.5" thickBot="1">
      <c r="A50" s="922"/>
      <c r="B50" s="925"/>
      <c r="C50" s="1055"/>
      <c r="D50" s="899"/>
      <c r="E50" s="993" t="s">
        <v>697</v>
      </c>
      <c r="F50" s="994">
        <f ca="1">F7</f>
        <v>15739.37</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62</v>
      </c>
      <c r="K51" s="1339" t="s">
        <v>830</v>
      </c>
      <c r="L51" s="1340">
        <f ca="1">ROUND(-PV(INDIRECT("'数据-取费表'!h"&amp;$G$1),J51,(C39-C13*C76),0),0)</f>
        <v>-4244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40.65</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40.65</v>
      </c>
      <c r="K53" s="3452" t="s">
        <v>837</v>
      </c>
      <c r="L53" s="3453"/>
      <c r="O53" s="1325" t="s">
        <v>409</v>
      </c>
      <c r="P53" s="1326" t="s">
        <v>838</v>
      </c>
      <c r="Q53" s="1327">
        <f ca="1">Q47+Q48</f>
        <v>6917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8543</v>
      </c>
      <c r="D56" s="1352"/>
      <c r="E56" s="1353"/>
      <c r="F56" s="1345"/>
      <c r="I56" s="1354" t="s">
        <v>842</v>
      </c>
      <c r="J56" s="1355" t="s">
        <v>4932</v>
      </c>
      <c r="K56" s="1328" t="s">
        <v>843</v>
      </c>
      <c r="L56" s="1331" t="str">
        <f ca="1">IF(L48&lt;J51,"——",L48-J53)</f>
        <v>——</v>
      </c>
      <c r="O56" s="1325" t="s">
        <v>403</v>
      </c>
      <c r="P56" s="1326" t="s">
        <v>817</v>
      </c>
      <c r="Q56" s="1327">
        <f ca="1">C40+J29</f>
        <v>6917</v>
      </c>
      <c r="R56" s="1327" t="s">
        <v>818</v>
      </c>
    </row>
    <row r="57" spans="1:18" s="1292" customFormat="1" ht="24.75" thickBot="1">
      <c r="A57" s="1356"/>
      <c r="B57" s="896" t="s">
        <v>767</v>
      </c>
      <c r="C57" s="230">
        <f ca="1">C29</f>
        <v>8543</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27</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续建工期及建筑物耐用年限下的土地年期修正系数Kn</v>
      </c>
      <c r="Q61" s="1327" t="e">
        <f ca="1">L59</f>
        <v>#DIV/0!</v>
      </c>
      <c r="R61" s="1327" t="s">
        <v>857</v>
      </c>
    </row>
    <row r="62" spans="1:18" s="1292" customFormat="1" ht="13.5" thickBot="1">
      <c r="A62" s="928" t="s">
        <v>784</v>
      </c>
      <c r="B62" s="895" t="s">
        <v>785</v>
      </c>
      <c r="C62" s="22">
        <f ca="1">IF(项目基本情况!B11="自然人","——",ROUND(F62*F63/10000,2))</f>
        <v>0.74</v>
      </c>
      <c r="D62" s="911" t="s">
        <v>786</v>
      </c>
      <c r="E62" s="896" t="s">
        <v>787</v>
      </c>
      <c r="F62" s="317">
        <f t="shared" si="0"/>
        <v>1.5</v>
      </c>
      <c r="I62" s="1367" t="s">
        <v>858</v>
      </c>
      <c r="J62" s="610" t="s">
        <v>859</v>
      </c>
      <c r="K62" s="610" t="s">
        <v>860</v>
      </c>
      <c r="L62" s="610" t="s">
        <v>861</v>
      </c>
      <c r="M62" s="1368" t="s">
        <v>862</v>
      </c>
      <c r="O62" s="1325" t="s">
        <v>409</v>
      </c>
      <c r="P62" s="1326" t="s">
        <v>863</v>
      </c>
      <c r="Q62" s="1327">
        <f ca="1">Q56+Q57</f>
        <v>6917</v>
      </c>
      <c r="R62" s="1327" t="s">
        <v>410</v>
      </c>
    </row>
    <row r="63" spans="1:18" s="1292" customFormat="1" ht="13.5" thickBot="1">
      <c r="A63" s="318"/>
      <c r="B63" s="902"/>
      <c r="C63" s="26"/>
      <c r="D63" s="912"/>
      <c r="E63" s="896" t="s">
        <v>788</v>
      </c>
      <c r="F63" s="295">
        <f t="shared" ca="1" si="0"/>
        <v>4955.53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8.5399999999999991</v>
      </c>
      <c r="D65" s="910" t="s">
        <v>743</v>
      </c>
      <c r="E65" s="896" t="s">
        <v>744</v>
      </c>
      <c r="F65" s="321">
        <f t="shared" ca="1" si="0"/>
        <v>1E-3</v>
      </c>
      <c r="I65" s="1367" t="s">
        <v>867</v>
      </c>
      <c r="J65" s="610">
        <v>40</v>
      </c>
      <c r="K65" s="610">
        <v>30</v>
      </c>
      <c r="L65" s="610">
        <v>50</v>
      </c>
      <c r="M65" s="1369">
        <v>0.02</v>
      </c>
      <c r="O65" s="1325" t="s">
        <v>403</v>
      </c>
      <c r="P65" s="1326" t="s">
        <v>868</v>
      </c>
      <c r="Q65" s="1327">
        <f ca="1">C40+J29</f>
        <v>6917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v>
      </c>
      <c r="D67" s="909" t="s">
        <v>753</v>
      </c>
      <c r="E67" s="914"/>
      <c r="F67" s="915"/>
      <c r="O67" s="1334" t="s">
        <v>405</v>
      </c>
      <c r="P67" s="1326" t="s">
        <v>850</v>
      </c>
      <c r="Q67" s="1370">
        <f ca="1">L51</f>
        <v>-4244</v>
      </c>
      <c r="R67" s="1327" t="s">
        <v>870</v>
      </c>
    </row>
    <row r="68" spans="1:18" s="1292" customFormat="1" ht="16.5" thickBot="1">
      <c r="A68" s="893" t="s">
        <v>395</v>
      </c>
      <c r="B68" s="894" t="s">
        <v>774</v>
      </c>
      <c r="C68" s="293">
        <f ca="1">ROUND(C67*(1-((1+F70)/(1+F68))^F69)/(F68-F70),0)</f>
        <v>-435</v>
      </c>
      <c r="D68" s="911" t="s">
        <v>758</v>
      </c>
      <c r="E68" s="896" t="s">
        <v>759</v>
      </c>
      <c r="F68" s="304">
        <f ca="1">F40</f>
        <v>5.5E-2</v>
      </c>
      <c r="O68" s="1334" t="s">
        <v>406</v>
      </c>
      <c r="P68" s="1371" t="s">
        <v>871</v>
      </c>
      <c r="Q68" s="1327">
        <f ca="1">ROUND(Q69-Q70*Q71,0)</f>
        <v>-223</v>
      </c>
      <c r="R68" s="1327" t="s">
        <v>414</v>
      </c>
    </row>
    <row r="69" spans="1:18" s="1292" customFormat="1" ht="13.5" thickBot="1">
      <c r="A69" s="897"/>
      <c r="B69" s="898"/>
      <c r="C69" s="298"/>
      <c r="D69" s="916" t="s">
        <v>762</v>
      </c>
      <c r="E69" s="896" t="s">
        <v>763</v>
      </c>
      <c r="F69" s="324">
        <f ca="1">F41</f>
        <v>40.65</v>
      </c>
      <c r="O69" s="1334" t="s">
        <v>411</v>
      </c>
      <c r="P69" s="1371" t="s">
        <v>872</v>
      </c>
      <c r="Q69" s="1327">
        <f ca="1">C39</f>
        <v>375</v>
      </c>
      <c r="R69" s="1327" t="s">
        <v>818</v>
      </c>
    </row>
    <row r="70" spans="1:18" s="1292" customFormat="1" ht="13.5" thickBot="1">
      <c r="A70" s="900"/>
      <c r="B70" s="901"/>
      <c r="C70" s="302"/>
      <c r="D70" s="912"/>
      <c r="E70" s="896" t="s">
        <v>766</v>
      </c>
      <c r="F70" s="991"/>
      <c r="O70" s="1334" t="s">
        <v>412</v>
      </c>
      <c r="P70" s="1371" t="s">
        <v>873</v>
      </c>
      <c r="Q70" s="1327">
        <f ca="1">C13</f>
        <v>8543</v>
      </c>
      <c r="R70" s="1327" t="s">
        <v>818</v>
      </c>
    </row>
    <row r="71" spans="1:18" s="1292" customFormat="1" ht="13.5" thickBot="1">
      <c r="A71" s="917" t="s">
        <v>396</v>
      </c>
      <c r="B71" s="918" t="s">
        <v>776</v>
      </c>
      <c r="C71" s="327">
        <f ca="1">ROUND(C68*10000/F71,0)</f>
        <v>-276</v>
      </c>
      <c r="D71" s="919" t="s">
        <v>777</v>
      </c>
      <c r="E71" s="920" t="s">
        <v>778</v>
      </c>
      <c r="F71" s="330">
        <f ca="1">F43</f>
        <v>15739.37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续建工期及建筑物耐用年限下的土地年期修正系数Kn</v>
      </c>
      <c r="Q74" s="1327" t="e">
        <f ca="1">L59</f>
        <v>#DIV/0!</v>
      </c>
      <c r="R74" s="1327" t="s">
        <v>857</v>
      </c>
    </row>
    <row r="75" spans="1:18" ht="13.5" thickBot="1">
      <c r="A75" s="1292"/>
      <c r="B75" s="331" t="s">
        <v>795</v>
      </c>
      <c r="C75" s="332">
        <f ca="1">ROUND(C13*C76,0)</f>
        <v>598</v>
      </c>
      <c r="D75" s="1292"/>
      <c r="E75" s="1292"/>
      <c r="F75" s="1292"/>
      <c r="K75" s="1309"/>
      <c r="L75" s="1292"/>
      <c r="O75" s="1325" t="s">
        <v>409</v>
      </c>
      <c r="P75" s="1326" t="s">
        <v>838</v>
      </c>
      <c r="Q75" s="1327">
        <f ca="1">Q65+Q66</f>
        <v>6917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-0.59499999999999997</v>
      </c>
    </row>
    <row r="80" spans="1:18">
      <c r="B80" s="331" t="s">
        <v>800</v>
      </c>
      <c r="C80" s="266">
        <f ca="1">ROUND(C75/C39,3)</f>
        <v>1.595</v>
      </c>
    </row>
    <row r="81" spans="2:3">
      <c r="B81" s="262" t="s">
        <v>801</v>
      </c>
      <c r="C81" s="230"/>
    </row>
    <row r="82" spans="2:3">
      <c r="B82" s="265" t="s">
        <v>802</v>
      </c>
      <c r="C82" s="267">
        <f ca="1">1-C83</f>
        <v>-0.2350000000000001</v>
      </c>
    </row>
    <row r="83" spans="2:3">
      <c r="B83" s="265" t="s">
        <v>803</v>
      </c>
      <c r="C83" s="266">
        <f ca="1">ROUND(C13/C40,3)</f>
        <v>1.2350000000000001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4" t="s">
        <v>694</v>
      </c>
      <c r="C6" s="1011">
        <f ca="1">ROUND(F6*F8*F7*(1-F9),0)</f>
        <v>0</v>
      </c>
      <c r="D6" s="147" t="s">
        <v>2105</v>
      </c>
      <c r="E6" s="294" t="s">
        <v>696</v>
      </c>
      <c r="F6" s="295">
        <f ca="1">INDIRECT("'数据-取费表'!u"&amp;$G$1)</f>
        <v>0</v>
      </c>
      <c r="G6" s="1292"/>
      <c r="H6" s="1006" t="s">
        <v>398</v>
      </c>
      <c r="I6" s="3454" t="s">
        <v>694</v>
      </c>
      <c r="J6" s="293">
        <f ca="1">ROUND(M6*M8*M7*(1-M9),0)</f>
        <v>0</v>
      </c>
      <c r="K6" s="1284" t="s">
        <v>2106</v>
      </c>
      <c r="L6" s="294" t="s">
        <v>696</v>
      </c>
      <c r="M6" s="295">
        <f ca="1">INDIRECT("'数据-取费表'!z"&amp;$G$1)</f>
        <v>0</v>
      </c>
    </row>
    <row r="7" spans="1:37" ht="18" customHeight="1">
      <c r="A7" s="1010"/>
      <c r="B7" s="3455"/>
      <c r="C7" s="1012"/>
      <c r="D7" s="299"/>
      <c r="E7" s="1013" t="s">
        <v>697</v>
      </c>
      <c r="F7" s="295">
        <f ca="1">IF(INDIRECT("'数据-取费表'!ah"&amp;$G$1)="",INDIRECT("'数据-取费表'!k"&amp;$G$1),INDIRECT("'数据-取费表'!ah"&amp;$G$1))</f>
        <v>0</v>
      </c>
      <c r="G7" s="1292"/>
      <c r="H7" s="296"/>
      <c r="I7" s="3455"/>
      <c r="J7" s="298"/>
      <c r="K7" s="299"/>
      <c r="L7" s="294" t="s">
        <v>697</v>
      </c>
      <c r="M7" s="295">
        <f ca="1">F7</f>
        <v>0</v>
      </c>
    </row>
    <row r="8" spans="1:37" ht="18" customHeight="1">
      <c r="A8" s="296"/>
      <c r="B8" s="3455"/>
      <c r="C8" s="298"/>
      <c r="D8" s="299"/>
      <c r="E8" s="294" t="s">
        <v>698</v>
      </c>
      <c r="F8" s="295">
        <f ca="1">INDIRECT("'数据-取费表'!ai"&amp;$G$1)</f>
        <v>0</v>
      </c>
      <c r="G8" s="1292"/>
      <c r="H8" s="296"/>
      <c r="I8" s="3455"/>
      <c r="J8" s="298"/>
      <c r="K8" s="299"/>
      <c r="L8" s="294" t="s">
        <v>698</v>
      </c>
      <c r="M8" s="295">
        <f ca="1">INDIRECT("'数据-取费表'!ai"&amp;$G$1)</f>
        <v>0</v>
      </c>
    </row>
    <row r="9" spans="1:37" ht="18" customHeight="1">
      <c r="A9" s="296"/>
      <c r="B9" s="3456"/>
      <c r="C9" s="298"/>
      <c r="D9" s="299"/>
      <c r="E9" s="294" t="s">
        <v>699</v>
      </c>
      <c r="F9" s="304">
        <f ca="1">INDIRECT("'数据-取费表'!w"&amp;$G$1)</f>
        <v>0</v>
      </c>
      <c r="G9" s="1292"/>
      <c r="H9" s="296"/>
      <c r="I9" s="34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t="e">
        <f ca="1">ROUND((C68-C40)/10000,4)</f>
        <v>#DIV/0!</v>
      </c>
      <c r="D45" s="3131"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452" t="s">
        <v>837</v>
      </c>
      <c r="L53" s="34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2304</v>
      </c>
      <c r="K1" s="2591"/>
      <c r="L1" s="2591"/>
      <c r="M1" s="2591"/>
      <c r="N1" s="2591"/>
      <c r="O1" s="2591"/>
      <c r="P1" s="2591"/>
      <c r="Q1" s="2591"/>
      <c r="R1" s="2592"/>
      <c r="S1" s="2593"/>
      <c r="T1" s="2593"/>
      <c r="U1" s="2593"/>
    </row>
    <row r="2" spans="1:22" s="2605" customFormat="1" ht="13.15" customHeight="1">
      <c r="A2" s="1293" t="s">
        <v>2305</v>
      </c>
      <c r="B2" s="2595" t="e">
        <f>IF(D2="——",C40,C40+E2)</f>
        <v>#DIV/0!</v>
      </c>
      <c r="C2" s="2596" t="s">
        <v>2306</v>
      </c>
      <c r="D2" s="3139" t="s">
        <v>3346</v>
      </c>
      <c r="E2" s="3140"/>
      <c r="F2" s="2598"/>
      <c r="G2" s="2599"/>
      <c r="H2" s="2600"/>
      <c r="I2" s="2601"/>
      <c r="J2" s="3463" t="s">
        <v>2307</v>
      </c>
      <c r="K2" s="3464"/>
      <c r="L2" s="2602" t="s">
        <v>2308</v>
      </c>
      <c r="M2" s="2602" t="s">
        <v>2309</v>
      </c>
      <c r="N2" s="2602" t="s">
        <v>2310</v>
      </c>
      <c r="O2" s="2602" t="s">
        <v>2311</v>
      </c>
      <c r="P2" s="2602" t="s">
        <v>2312</v>
      </c>
      <c r="Q2" s="2603" t="s">
        <v>2313</v>
      </c>
      <c r="R2" s="2604" t="s">
        <v>2314</v>
      </c>
      <c r="S2" s="2593"/>
      <c r="T2" s="2593"/>
      <c r="U2" s="2593"/>
      <c r="V2" s="2601"/>
    </row>
    <row r="3" spans="1:22" s="2605" customFormat="1" ht="13.15" customHeight="1">
      <c r="A3" s="2606" t="s">
        <v>2315</v>
      </c>
      <c r="B3" s="2607" t="e">
        <f>ROUND(B2*10000/B4,0)</f>
        <v>#DIV/0!</v>
      </c>
      <c r="C3" s="2596" t="s">
        <v>2316</v>
      </c>
      <c r="D3" s="2596"/>
      <c r="E3" s="2597"/>
      <c r="F3" s="2598"/>
      <c r="G3" s="2599"/>
      <c r="H3" s="2600"/>
      <c r="I3" s="2601"/>
      <c r="J3" s="3465" t="s">
        <v>2317</v>
      </c>
      <c r="K3" s="3466"/>
      <c r="L3" s="2608"/>
      <c r="M3" s="2608"/>
      <c r="N3" s="2608"/>
      <c r="O3" s="2608"/>
      <c r="P3" s="2608"/>
      <c r="Q3" s="2609"/>
      <c r="R3" s="2610">
        <f>SUM(L3:Q3)</f>
        <v>0</v>
      </c>
      <c r="S3" s="2593"/>
      <c r="T3" s="2593"/>
      <c r="U3" s="2593"/>
      <c r="V3" s="2601"/>
    </row>
    <row r="4" spans="1:22" s="2605" customFormat="1" ht="13.15" customHeight="1">
      <c r="A4" s="2611" t="s">
        <v>2318</v>
      </c>
      <c r="B4" s="2612"/>
      <c r="C4" s="2596"/>
      <c r="D4" s="2596"/>
      <c r="E4" s="2597"/>
      <c r="F4" s="2598"/>
      <c r="G4" s="2599"/>
      <c r="H4" s="2600"/>
      <c r="I4" s="2601"/>
      <c r="J4" s="3465" t="s">
        <v>2319</v>
      </c>
      <c r="K4" s="3466"/>
      <c r="L4" s="2613"/>
      <c r="M4" s="2613"/>
      <c r="N4" s="2613"/>
      <c r="O4" s="2613"/>
      <c r="P4" s="2613"/>
      <c r="Q4" s="2614"/>
      <c r="R4" s="2615">
        <f>SUM(L4:Q4)</f>
        <v>0</v>
      </c>
      <c r="S4" s="2593"/>
      <c r="T4" s="2593"/>
      <c r="U4" s="2593"/>
      <c r="V4" s="2601"/>
    </row>
    <row r="5" spans="1:22" s="2605" customFormat="1" ht="13.15" customHeight="1" thickBot="1">
      <c r="A5" s="2616" t="s">
        <v>2320</v>
      </c>
      <c r="B5" s="2617"/>
      <c r="C5" s="2596"/>
      <c r="D5" s="2618"/>
      <c r="E5" s="2598"/>
      <c r="F5" s="2598"/>
      <c r="G5" s="2599"/>
      <c r="H5" s="2600"/>
      <c r="I5" s="2601"/>
      <c r="J5" s="2619" t="s">
        <v>2321</v>
      </c>
      <c r="K5" s="2620"/>
      <c r="L5" s="2620"/>
      <c r="M5" s="2621"/>
      <c r="N5" s="2621"/>
      <c r="O5" s="2621"/>
      <c r="P5" s="2621"/>
      <c r="Q5" s="2621"/>
      <c r="R5" s="2604">
        <f>SUM(R14,R19,R24,R25,R27,R28)</f>
        <v>0</v>
      </c>
      <c r="S5" s="2593"/>
      <c r="T5" s="2593" t="s">
        <v>2322</v>
      </c>
      <c r="U5" s="2593" t="e">
        <f>ROUND(R5*10000/365/R3,1)</f>
        <v>#DIV/0!</v>
      </c>
      <c r="V5" s="2601"/>
    </row>
    <row r="6" spans="1:22" s="2605" customFormat="1" ht="13.15" customHeight="1" thickBot="1">
      <c r="A6" s="3471" t="s">
        <v>2323</v>
      </c>
      <c r="B6" s="3472"/>
      <c r="C6" s="3473"/>
      <c r="D6" s="2622"/>
      <c r="E6" s="2623"/>
      <c r="F6" s="2624"/>
      <c r="G6" s="2625"/>
      <c r="H6" s="2600"/>
      <c r="I6" s="2601"/>
      <c r="J6" s="3457">
        <v>1</v>
      </c>
      <c r="K6" s="3458" t="s">
        <v>2324</v>
      </c>
      <c r="L6" s="2626" t="s">
        <v>2325</v>
      </c>
      <c r="M6" s="2627" t="s">
        <v>2326</v>
      </c>
      <c r="N6" s="2627" t="s">
        <v>2327</v>
      </c>
      <c r="O6" s="2627" t="s">
        <v>2328</v>
      </c>
      <c r="P6" s="2627" t="s">
        <v>2329</v>
      </c>
      <c r="Q6" s="2627" t="s">
        <v>2330</v>
      </c>
      <c r="R6" s="2610" t="s">
        <v>2331</v>
      </c>
      <c r="S6" s="2593"/>
      <c r="T6" s="2593" t="s">
        <v>2332</v>
      </c>
      <c r="U6" s="2593"/>
      <c r="V6" s="2601"/>
    </row>
    <row r="7" spans="1:22" s="2605" customFormat="1" ht="13.15" customHeight="1">
      <c r="A7" s="2628" t="s">
        <v>2333</v>
      </c>
      <c r="B7" s="2629"/>
      <c r="C7" s="2630"/>
      <c r="D7" s="2631">
        <f>SUM(D9,D10,D11,D17,0)</f>
        <v>0</v>
      </c>
      <c r="E7" s="2632" t="e">
        <f>E9+E10+E11+E17</f>
        <v>#DIV/0!</v>
      </c>
      <c r="F7" s="2633"/>
      <c r="G7" s="2634"/>
      <c r="H7" s="2600"/>
      <c r="I7" s="2601"/>
      <c r="J7" s="3457"/>
      <c r="K7" s="3459"/>
      <c r="L7" s="2635" t="s">
        <v>2334</v>
      </c>
      <c r="M7" s="2636"/>
      <c r="N7" s="2612"/>
      <c r="O7" s="2637"/>
      <c r="P7" s="2637"/>
      <c r="Q7" s="2638">
        <v>365</v>
      </c>
      <c r="R7" s="2639">
        <f>ROUND(M7*N7*O7*P7*Q7/10000,0)</f>
        <v>0</v>
      </c>
      <c r="S7" s="2593"/>
      <c r="T7" s="2593" t="s">
        <v>2335</v>
      </c>
      <c r="U7" s="2593"/>
      <c r="V7" s="2601"/>
    </row>
    <row r="8" spans="1:22" s="2605" customFormat="1" ht="13.15" customHeight="1">
      <c r="A8" s="2640" t="s">
        <v>2336</v>
      </c>
      <c r="B8" s="3474" t="s">
        <v>2337</v>
      </c>
      <c r="C8" s="3475"/>
      <c r="D8" s="2641" t="s">
        <v>2338</v>
      </c>
      <c r="E8" s="2642" t="s">
        <v>2339</v>
      </c>
      <c r="F8" s="2643" t="s">
        <v>2340</v>
      </c>
      <c r="G8" s="2644"/>
      <c r="H8" s="2600"/>
      <c r="I8" s="2601"/>
      <c r="J8" s="3457"/>
      <c r="K8" s="3459"/>
      <c r="L8" s="2635" t="s">
        <v>2341</v>
      </c>
      <c r="M8" s="2636"/>
      <c r="N8" s="2612"/>
      <c r="O8" s="2637"/>
      <c r="P8" s="2637"/>
      <c r="Q8" s="2638">
        <v>365</v>
      </c>
      <c r="R8" s="2639">
        <f t="shared" ref="R8:R13" si="0">ROUND(M8*N8*O8*P8*Q8/10000,0)</f>
        <v>0</v>
      </c>
      <c r="S8" s="2593"/>
      <c r="T8" s="2593" t="s">
        <v>2342</v>
      </c>
      <c r="U8" s="2593"/>
      <c r="V8" s="2601"/>
    </row>
    <row r="9" spans="1:22" s="2605" customFormat="1" ht="13.15" customHeight="1">
      <c r="A9" s="2640">
        <v>1</v>
      </c>
      <c r="B9" s="3474" t="s">
        <v>2343</v>
      </c>
      <c r="C9" s="3475"/>
      <c r="D9" s="2641">
        <f>ROUND(D6*E9,0)</f>
        <v>0</v>
      </c>
      <c r="E9" s="2645"/>
      <c r="F9" s="2646" t="s">
        <v>2344</v>
      </c>
      <c r="G9" s="2625"/>
      <c r="H9" s="2600"/>
      <c r="I9" s="2601"/>
      <c r="J9" s="3457"/>
      <c r="K9" s="3459"/>
      <c r="L9" s="2635" t="s">
        <v>2345</v>
      </c>
      <c r="M9" s="2636"/>
      <c r="N9" s="2612"/>
      <c r="O9" s="2637"/>
      <c r="P9" s="2637"/>
      <c r="Q9" s="2638">
        <v>365</v>
      </c>
      <c r="R9" s="2639">
        <f t="shared" si="0"/>
        <v>0</v>
      </c>
      <c r="S9" s="2593"/>
      <c r="T9" s="2593"/>
      <c r="U9" s="2593"/>
      <c r="V9" s="2601"/>
    </row>
    <row r="10" spans="1:22" s="2605" customFormat="1" ht="13.15" customHeight="1">
      <c r="A10" s="2640">
        <v>2</v>
      </c>
      <c r="B10" s="3474" t="s">
        <v>2346</v>
      </c>
      <c r="C10" s="3475"/>
      <c r="D10" s="2641">
        <f>ROUND(D6*E10,0)</f>
        <v>0</v>
      </c>
      <c r="E10" s="2645"/>
      <c r="F10" s="2646" t="s">
        <v>2347</v>
      </c>
      <c r="G10" s="2625"/>
      <c r="H10" s="2600"/>
      <c r="I10" s="2601"/>
      <c r="J10" s="3457"/>
      <c r="K10" s="3459"/>
      <c r="L10" s="2635" t="s">
        <v>2348</v>
      </c>
      <c r="M10" s="2636"/>
      <c r="N10" s="2612"/>
      <c r="O10" s="2637"/>
      <c r="P10" s="2637"/>
      <c r="Q10" s="2638">
        <v>365</v>
      </c>
      <c r="R10" s="2639">
        <f t="shared" si="0"/>
        <v>0</v>
      </c>
      <c r="S10" s="2593"/>
      <c r="T10" s="2593"/>
      <c r="U10" s="2593"/>
      <c r="V10" s="2601"/>
    </row>
    <row r="11" spans="1:22" s="2605" customFormat="1" ht="13.15" customHeight="1">
      <c r="A11" s="2640">
        <v>3</v>
      </c>
      <c r="B11" s="3474" t="s">
        <v>2349</v>
      </c>
      <c r="C11" s="3475"/>
      <c r="D11" s="2641">
        <f>D12+D14+D15+D16</f>
        <v>0</v>
      </c>
      <c r="E11" s="2647" t="e">
        <f>D11/D6</f>
        <v>#DIV/0!</v>
      </c>
      <c r="F11" s="2643"/>
      <c r="G11" s="2644"/>
      <c r="H11" s="2600"/>
      <c r="I11" s="2601"/>
      <c r="J11" s="3457"/>
      <c r="K11" s="3459"/>
      <c r="L11" s="2635" t="s">
        <v>2350</v>
      </c>
      <c r="M11" s="2636"/>
      <c r="N11" s="2612"/>
      <c r="O11" s="2637"/>
      <c r="P11" s="2637"/>
      <c r="Q11" s="2638">
        <v>365</v>
      </c>
      <c r="R11" s="2639">
        <f t="shared" si="0"/>
        <v>0</v>
      </c>
      <c r="S11" s="2593"/>
      <c r="T11" s="2593"/>
      <c r="U11" s="2593"/>
      <c r="V11" s="2601"/>
    </row>
    <row r="12" spans="1:22" s="2605" customFormat="1" ht="13.15" customHeight="1">
      <c r="A12" s="2648" t="s">
        <v>2351</v>
      </c>
      <c r="B12" s="3467" t="s">
        <v>2352</v>
      </c>
      <c r="C12" s="3468"/>
      <c r="D12" s="2649">
        <f>ROUND(D13*1.2%*(1-30%),0)</f>
        <v>0</v>
      </c>
      <c r="E12" s="2650">
        <v>1.2E-2</v>
      </c>
      <c r="F12" s="2643" t="s">
        <v>2353</v>
      </c>
      <c r="G12" s="2644"/>
      <c r="H12" s="2600"/>
      <c r="I12" s="2601"/>
      <c r="J12" s="3457"/>
      <c r="K12" s="3459"/>
      <c r="L12" s="2635" t="s">
        <v>2354</v>
      </c>
      <c r="M12" s="2636"/>
      <c r="N12" s="2612"/>
      <c r="O12" s="2637"/>
      <c r="P12" s="2637"/>
      <c r="Q12" s="2638">
        <v>365</v>
      </c>
      <c r="R12" s="2639">
        <f t="shared" si="0"/>
        <v>0</v>
      </c>
      <c r="S12" s="2593"/>
      <c r="T12" s="2593"/>
      <c r="U12" s="2593"/>
      <c r="V12" s="2601"/>
    </row>
    <row r="13" spans="1:22" s="2605" customFormat="1" ht="13.15" customHeight="1">
      <c r="A13" s="2648"/>
      <c r="B13" s="2651"/>
      <c r="C13" s="2652" t="s">
        <v>2355</v>
      </c>
      <c r="D13" s="2653"/>
      <c r="E13" s="2654"/>
      <c r="F13" s="2643"/>
      <c r="G13" s="2644"/>
      <c r="H13" s="2600"/>
      <c r="I13" s="2601"/>
      <c r="J13" s="3457"/>
      <c r="K13" s="3459"/>
      <c r="L13" s="2635" t="s">
        <v>2356</v>
      </c>
      <c r="M13" s="2636"/>
      <c r="N13" s="2612"/>
      <c r="O13" s="2637"/>
      <c r="P13" s="2637"/>
      <c r="Q13" s="2638">
        <v>365</v>
      </c>
      <c r="R13" s="2639">
        <f t="shared" si="0"/>
        <v>0</v>
      </c>
      <c r="S13" s="2593"/>
      <c r="T13" s="2593"/>
      <c r="U13" s="2593"/>
      <c r="V13" s="2601"/>
    </row>
    <row r="14" spans="1:22" s="2605" customFormat="1" ht="13.15" customHeight="1">
      <c r="A14" s="2648" t="s">
        <v>2357</v>
      </c>
      <c r="B14" s="3467" t="s">
        <v>2358</v>
      </c>
      <c r="C14" s="3468"/>
      <c r="D14" s="2649">
        <f>ROUND(E14*B5/10000,0)</f>
        <v>0</v>
      </c>
      <c r="E14" s="2638"/>
      <c r="F14" s="2643" t="s">
        <v>2359</v>
      </c>
      <c r="G14" s="2644"/>
      <c r="H14" s="2600"/>
      <c r="I14" s="2601"/>
      <c r="J14" s="3457"/>
      <c r="K14" s="3460"/>
      <c r="L14" s="2655" t="s">
        <v>2360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2361</v>
      </c>
      <c r="B15" s="3467" t="s">
        <v>2362</v>
      </c>
      <c r="C15" s="3468"/>
      <c r="D15" s="2649">
        <f>ROUND(D6*E15,0)</f>
        <v>0</v>
      </c>
      <c r="E15" s="2650">
        <v>5.5E-2</v>
      </c>
      <c r="F15" s="2643" t="s">
        <v>2363</v>
      </c>
      <c r="G15" s="2625"/>
      <c r="H15" s="2600"/>
      <c r="I15" s="2601"/>
      <c r="J15" s="3457">
        <v>2</v>
      </c>
      <c r="K15" s="3458" t="s">
        <v>2364</v>
      </c>
      <c r="L15" s="2635" t="s">
        <v>2365</v>
      </c>
      <c r="M15" s="2636" t="s">
        <v>2366</v>
      </c>
      <c r="N15" s="2636" t="s">
        <v>2367</v>
      </c>
      <c r="O15" s="2637" t="s">
        <v>2368</v>
      </c>
      <c r="P15" s="2637" t="s">
        <v>2330</v>
      </c>
      <c r="Q15" s="2612" t="s">
        <v>2369</v>
      </c>
      <c r="R15" s="2659" t="s">
        <v>2331</v>
      </c>
      <c r="S15" s="2593"/>
      <c r="T15" s="2593"/>
      <c r="U15" s="2593"/>
      <c r="V15" s="2601"/>
    </row>
    <row r="16" spans="1:22" s="2605" customFormat="1" ht="13.15" customHeight="1">
      <c r="A16" s="2648" t="s">
        <v>2370</v>
      </c>
      <c r="B16" s="3467" t="s">
        <v>2371</v>
      </c>
      <c r="C16" s="3468"/>
      <c r="D16" s="2660">
        <f>D6*E16</f>
        <v>0</v>
      </c>
      <c r="E16" s="2661"/>
      <c r="F16" s="2646" t="s">
        <v>2372</v>
      </c>
      <c r="G16" s="2625"/>
      <c r="H16" s="2600"/>
      <c r="I16" s="2601"/>
      <c r="J16" s="3457"/>
      <c r="K16" s="3459"/>
      <c r="L16" s="2635" t="s">
        <v>2373</v>
      </c>
      <c r="M16" s="2636"/>
      <c r="N16" s="2636"/>
      <c r="O16" s="2637"/>
      <c r="P16" s="2638">
        <v>365</v>
      </c>
      <c r="Q16" s="2612"/>
      <c r="R16" s="2659">
        <f>ROUND(M16*N16*O16*P16/10000,0)</f>
        <v>0</v>
      </c>
      <c r="S16" s="2593"/>
      <c r="T16" s="2593"/>
      <c r="U16" s="2593"/>
      <c r="V16" s="2601"/>
    </row>
    <row r="17" spans="1:22" s="2605" customFormat="1" ht="13.15" customHeight="1" thickBot="1">
      <c r="A17" s="2662">
        <v>4</v>
      </c>
      <c r="B17" s="3469" t="s">
        <v>2374</v>
      </c>
      <c r="C17" s="3470"/>
      <c r="D17" s="2663">
        <f>ROUND(D6*E17,0)</f>
        <v>0</v>
      </c>
      <c r="E17" s="2664"/>
      <c r="F17" s="2665" t="s">
        <v>2375</v>
      </c>
      <c r="G17" s="2625"/>
      <c r="H17" s="2600"/>
      <c r="I17" s="2601"/>
      <c r="J17" s="3457"/>
      <c r="K17" s="3459"/>
      <c r="L17" s="2635" t="s">
        <v>2376</v>
      </c>
      <c r="M17" s="2636"/>
      <c r="N17" s="2636"/>
      <c r="O17" s="2637"/>
      <c r="P17" s="2638">
        <v>365</v>
      </c>
      <c r="Q17" s="2612"/>
      <c r="R17" s="2659">
        <f>ROUND(M17*N17*O17*P17/10000,0)</f>
        <v>0</v>
      </c>
      <c r="S17" s="2593"/>
      <c r="T17" s="2593"/>
      <c r="U17" s="2593"/>
      <c r="V17" s="2601"/>
    </row>
    <row r="18" spans="1:22" s="2605" customFormat="1" ht="13.15" customHeight="1" thickBot="1">
      <c r="A18" s="2628" t="s">
        <v>2377</v>
      </c>
      <c r="B18" s="2629"/>
      <c r="C18" s="2629"/>
      <c r="D18" s="2666">
        <f>ROUND(D6*E18,0)</f>
        <v>0</v>
      </c>
      <c r="E18" s="2667"/>
      <c r="F18" s="2668" t="s">
        <v>2378</v>
      </c>
      <c r="G18" s="2625"/>
      <c r="H18" s="2600"/>
      <c r="I18" s="2601"/>
      <c r="J18" s="3457"/>
      <c r="K18" s="3459"/>
      <c r="L18" s="2635" t="s">
        <v>2379</v>
      </c>
      <c r="M18" s="2636"/>
      <c r="N18" s="2636"/>
      <c r="O18" s="2637"/>
      <c r="P18" s="2638">
        <v>365</v>
      </c>
      <c r="Q18" s="2612"/>
      <c r="R18" s="2659">
        <f>ROUND(M18*N18*O18*P18/10000,0)</f>
        <v>0</v>
      </c>
      <c r="S18" s="2593"/>
      <c r="T18" s="2593"/>
      <c r="U18" s="2593"/>
      <c r="V18" s="2601"/>
    </row>
    <row r="19" spans="1:22" s="2605" customFormat="1" ht="13.15" customHeight="1" thickBot="1">
      <c r="A19" s="2669" t="s">
        <v>2380</v>
      </c>
      <c r="B19" s="2623"/>
      <c r="C19" s="2623"/>
      <c r="D19" s="2623"/>
      <c r="E19" s="2623"/>
      <c r="F19" s="2624"/>
      <c r="G19" s="2644"/>
      <c r="H19" s="2600"/>
      <c r="I19" s="2601"/>
      <c r="J19" s="3457"/>
      <c r="K19" s="3460"/>
      <c r="L19" s="2655" t="s">
        <v>2360</v>
      </c>
      <c r="M19" s="2656"/>
      <c r="N19" s="2656">
        <f>SUM(N16:N18)</f>
        <v>0</v>
      </c>
      <c r="O19" s="2657"/>
      <c r="P19" s="2670" t="s">
        <v>2424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7">
        <v>3</v>
      </c>
      <c r="K20" s="3458" t="s">
        <v>2381</v>
      </c>
      <c r="L20" s="2635" t="s">
        <v>2382</v>
      </c>
      <c r="M20" s="2636" t="s">
        <v>2383</v>
      </c>
      <c r="N20" s="2673" t="s">
        <v>2384</v>
      </c>
      <c r="O20" s="2637" t="s">
        <v>2385</v>
      </c>
      <c r="P20" s="2638" t="s">
        <v>2386</v>
      </c>
      <c r="Q20" s="2612" t="s">
        <v>2387</v>
      </c>
      <c r="R20" s="2659" t="s">
        <v>2388</v>
      </c>
      <c r="S20" s="2593"/>
      <c r="T20" s="2593"/>
      <c r="U20" s="2593"/>
      <c r="V20" s="2601"/>
    </row>
    <row r="21" spans="1:22" s="2605" customFormat="1" ht="13.15" customHeight="1">
      <c r="A21" s="2628"/>
      <c r="B21" s="2629"/>
      <c r="C21" s="2674" t="s">
        <v>2389</v>
      </c>
      <c r="D21" s="2675" t="s">
        <v>2390</v>
      </c>
      <c r="E21" s="2676" t="s">
        <v>2391</v>
      </c>
      <c r="F21" s="2672"/>
      <c r="G21" s="2644"/>
      <c r="H21" s="2600"/>
      <c r="I21" s="2601"/>
      <c r="J21" s="3457"/>
      <c r="K21" s="3459"/>
      <c r="L21" s="2635" t="s">
        <v>2392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2393</v>
      </c>
      <c r="D22" s="2679" t="s">
        <v>2394</v>
      </c>
      <c r="E22" s="2680" t="s">
        <v>2395</v>
      </c>
      <c r="F22" s="2672"/>
      <c r="G22" s="2593"/>
      <c r="H22" s="2600"/>
      <c r="I22" s="2601"/>
      <c r="J22" s="3457"/>
      <c r="K22" s="3459"/>
      <c r="L22" s="2635" t="s">
        <v>2396</v>
      </c>
      <c r="M22" s="2636"/>
      <c r="N22" s="2636"/>
      <c r="O22" s="2637"/>
      <c r="P22" s="2638">
        <v>365</v>
      </c>
      <c r="Q22" s="2612"/>
      <c r="R22" s="2677">
        <f>ROUND(M22*N22*O22*P22/10000,0)</f>
        <v>0</v>
      </c>
      <c r="S22" s="2593"/>
      <c r="T22" s="2593"/>
      <c r="U22" s="2593"/>
      <c r="V22" s="2601"/>
    </row>
    <row r="23" spans="1:22" s="2605" customFormat="1" ht="13.15" customHeight="1">
      <c r="A23" s="2681">
        <v>1</v>
      </c>
      <c r="B23" s="2682" t="s">
        <v>2397</v>
      </c>
      <c r="C23" s="2683">
        <f>D6</f>
        <v>0</v>
      </c>
      <c r="D23" s="2684">
        <f>C23*(1+D24)</f>
        <v>0</v>
      </c>
      <c r="E23" s="2685">
        <f>D23*(1+E24)</f>
        <v>0</v>
      </c>
      <c r="F23" s="2686"/>
      <c r="G23" s="2687"/>
      <c r="H23" s="2600"/>
      <c r="I23" s="2601"/>
      <c r="J23" s="3457"/>
      <c r="K23" s="3459"/>
      <c r="L23" s="2635" t="s">
        <v>2398</v>
      </c>
      <c r="M23" s="2636"/>
      <c r="N23" s="2636"/>
      <c r="O23" s="2637"/>
      <c r="P23" s="2638">
        <v>365</v>
      </c>
      <c r="Q23" s="2612"/>
      <c r="R23" s="2677">
        <f>ROUND(M23*N23*O23*P23/10000,0)</f>
        <v>0</v>
      </c>
      <c r="S23" s="2593"/>
      <c r="T23" s="2593"/>
      <c r="U23" s="2593"/>
      <c r="V23" s="2601"/>
    </row>
    <row r="24" spans="1:22" s="2605" customFormat="1" ht="13.15" customHeight="1">
      <c r="A24" s="2688"/>
      <c r="B24" s="2689" t="s">
        <v>2399</v>
      </c>
      <c r="C24" s="2690"/>
      <c r="D24" s="2691"/>
      <c r="E24" s="2692"/>
      <c r="F24" s="2693"/>
      <c r="G24" s="2687"/>
      <c r="H24" s="2600"/>
      <c r="I24" s="2601"/>
      <c r="J24" s="3457"/>
      <c r="K24" s="3460"/>
      <c r="L24" s="2655" t="s">
        <v>2360</v>
      </c>
      <c r="M24" s="2656">
        <f>SUM(M21:M23)</f>
        <v>0</v>
      </c>
      <c r="N24" s="2656"/>
      <c r="O24" s="2657"/>
      <c r="P24" s="2670" t="s">
        <v>2424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2400</v>
      </c>
      <c r="L25" s="2696"/>
      <c r="M25" s="2696"/>
      <c r="N25" s="2696"/>
      <c r="O25" s="2696"/>
      <c r="P25" s="2697"/>
      <c r="Q25" s="2698">
        <v>0</v>
      </c>
      <c r="R25" s="2671">
        <f>ROUND(R14*Q25,0)</f>
        <v>0</v>
      </c>
      <c r="S25" s="2593"/>
      <c r="T25" s="2593"/>
      <c r="U25" s="2593"/>
      <c r="V25" s="2699"/>
    </row>
    <row r="26" spans="1:22" s="2700" customFormat="1" ht="13.15" customHeight="1">
      <c r="A26" s="2681">
        <v>2</v>
      </c>
      <c r="B26" s="2682" t="s">
        <v>2401</v>
      </c>
      <c r="C26" s="2683">
        <f>D7</f>
        <v>0</v>
      </c>
      <c r="D26" s="2684">
        <f>D23*D27</f>
        <v>0</v>
      </c>
      <c r="E26" s="2685">
        <f>E23*E27</f>
        <v>0</v>
      </c>
      <c r="F26" s="2686"/>
      <c r="G26" s="2687"/>
      <c r="H26" s="2600"/>
      <c r="I26" s="2601"/>
      <c r="J26" s="3461">
        <v>5</v>
      </c>
      <c r="K26" s="2701" t="s">
        <v>2402</v>
      </c>
      <c r="L26" s="2702"/>
      <c r="M26" s="2703"/>
      <c r="N26" s="2704" t="s">
        <v>2403</v>
      </c>
      <c r="O26" s="2704" t="s">
        <v>2404</v>
      </c>
      <c r="P26" s="2705" t="s">
        <v>2405</v>
      </c>
      <c r="Q26" s="2705" t="s">
        <v>2406</v>
      </c>
      <c r="R26" s="2610" t="s">
        <v>2331</v>
      </c>
      <c r="S26" s="2644"/>
      <c r="T26" s="2644"/>
      <c r="U26" s="2644"/>
      <c r="V26" s="2699"/>
    </row>
    <row r="27" spans="1:22" s="2605" customFormat="1" ht="13.15" customHeight="1">
      <c r="A27" s="2688"/>
      <c r="B27" s="2689" t="s">
        <v>2407</v>
      </c>
      <c r="C27" s="2706" t="e">
        <f>E7</f>
        <v>#DIV/0!</v>
      </c>
      <c r="D27" s="2691"/>
      <c r="E27" s="2692"/>
      <c r="F27" s="2693"/>
      <c r="G27" s="2687"/>
      <c r="H27" s="2707"/>
      <c r="I27" s="2699"/>
      <c r="J27" s="346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2408</v>
      </c>
      <c r="F28" s="2693"/>
      <c r="G28" s="2593"/>
      <c r="H28" s="2707"/>
      <c r="I28" s="2699"/>
      <c r="J28" s="2713">
        <v>6</v>
      </c>
      <c r="K28" s="2714" t="s">
        <v>2409</v>
      </c>
      <c r="L28" s="2715" t="s">
        <v>2410</v>
      </c>
      <c r="M28" s="2716"/>
      <c r="N28" s="2715" t="s">
        <v>2411</v>
      </c>
      <c r="O28" s="2717"/>
      <c r="P28" s="2715" t="s">
        <v>2412</v>
      </c>
      <c r="Q28" s="2718">
        <v>1.4999999999999999E-2</v>
      </c>
      <c r="R28" s="2719"/>
      <c r="S28" s="2593"/>
      <c r="T28" s="2593"/>
      <c r="U28" s="2593"/>
      <c r="V28" s="2699"/>
    </row>
    <row r="29" spans="1:22" s="2700" customFormat="1" ht="13.15" customHeight="1">
      <c r="A29" s="2681">
        <v>3</v>
      </c>
      <c r="B29" s="2682" t="s">
        <v>2413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2414</v>
      </c>
      <c r="K31" s="2591"/>
      <c r="L31" s="2591"/>
      <c r="M31" s="2591"/>
      <c r="N31" s="2591"/>
      <c r="O31" s="2591"/>
      <c r="P31" s="2591"/>
      <c r="Q31" s="2591"/>
      <c r="R31" s="2592"/>
      <c r="S31" s="2593"/>
      <c r="T31" s="2593"/>
      <c r="U31" s="2593"/>
      <c r="V31" s="2699"/>
    </row>
    <row r="32" spans="1:22" s="2700" customFormat="1" ht="13.15" customHeight="1">
      <c r="A32" s="2681">
        <v>4</v>
      </c>
      <c r="B32" s="2682" t="s">
        <v>2415</v>
      </c>
      <c r="C32" s="2683">
        <f>C23-C26-C29</f>
        <v>0</v>
      </c>
      <c r="D32" s="2684">
        <f>D23-D26-D29</f>
        <v>0</v>
      </c>
      <c r="E32" s="2685">
        <f>E23-E26-E29</f>
        <v>0</v>
      </c>
      <c r="F32" s="2686"/>
      <c r="G32" s="2593"/>
      <c r="H32" s="2600"/>
      <c r="I32" s="2601"/>
      <c r="J32" s="3463" t="s">
        <v>2307</v>
      </c>
      <c r="K32" s="3464"/>
      <c r="L32" s="2602" t="s">
        <v>2308</v>
      </c>
      <c r="M32" s="2602" t="s">
        <v>2309</v>
      </c>
      <c r="N32" s="2602" t="s">
        <v>2310</v>
      </c>
      <c r="O32" s="2602" t="s">
        <v>2311</v>
      </c>
      <c r="P32" s="2602" t="s">
        <v>2312</v>
      </c>
      <c r="Q32" s="2603" t="s">
        <v>2313</v>
      </c>
      <c r="R32" s="2722" t="s">
        <v>2314</v>
      </c>
      <c r="S32" s="2593"/>
      <c r="T32" s="2593"/>
      <c r="U32" s="2593"/>
      <c r="V32" s="2699"/>
    </row>
    <row r="33" spans="1:23" s="2605" customFormat="1" ht="13.15" customHeight="1">
      <c r="A33" s="2681"/>
      <c r="B33" s="2682"/>
      <c r="C33" s="2683"/>
      <c r="D33" s="2723"/>
      <c r="E33" s="2724"/>
      <c r="F33" s="2686"/>
      <c r="G33" s="2593"/>
      <c r="H33" s="2707"/>
      <c r="I33" s="2699"/>
      <c r="J33" s="3465" t="s">
        <v>2317</v>
      </c>
      <c r="K33" s="3466"/>
      <c r="L33" s="2608"/>
      <c r="M33" s="2608"/>
      <c r="N33" s="2608"/>
      <c r="O33" s="2608"/>
      <c r="P33" s="2608"/>
      <c r="Q33" s="2609"/>
      <c r="R33" s="2725">
        <f>SUM(L33:Q33)</f>
        <v>0</v>
      </c>
      <c r="S33" s="2593"/>
      <c r="T33" s="2593"/>
      <c r="U33" s="2593"/>
      <c r="V33" s="2601"/>
    </row>
    <row r="34" spans="1:23" s="2605" customFormat="1" ht="13.15" customHeight="1">
      <c r="A34" s="2681">
        <v>5</v>
      </c>
      <c r="B34" s="2682" t="s">
        <v>2416</v>
      </c>
      <c r="C34" s="2726"/>
      <c r="D34" s="2727"/>
      <c r="E34" s="2728"/>
      <c r="F34" s="2686"/>
      <c r="G34" s="2593"/>
      <c r="H34" s="2707"/>
      <c r="I34" s="2699"/>
      <c r="J34" s="3465" t="s">
        <v>2319</v>
      </c>
      <c r="K34" s="346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2417</v>
      </c>
      <c r="C35" s="2730"/>
      <c r="D35" s="2731"/>
      <c r="E35" s="2732"/>
      <c r="F35" s="2686"/>
      <c r="G35" s="2733"/>
      <c r="H35" s="2600"/>
      <c r="I35" s="2699"/>
      <c r="J35" s="2619" t="s">
        <v>2321</v>
      </c>
      <c r="K35" s="2620"/>
      <c r="L35" s="2620"/>
      <c r="M35" s="2621"/>
      <c r="N35" s="2621"/>
      <c r="O35" s="2621"/>
      <c r="P35" s="2621"/>
      <c r="Q35" s="2621"/>
      <c r="R35" s="2734">
        <f>R40+R41+R43</f>
        <v>0</v>
      </c>
      <c r="S35" s="2593"/>
      <c r="T35" s="2593" t="s">
        <v>2322</v>
      </c>
      <c r="U35" s="2593"/>
      <c r="V35" s="2601"/>
    </row>
    <row r="36" spans="1:23" s="2605" customFormat="1" ht="13.15" customHeight="1" thickBot="1">
      <c r="A36" s="2681">
        <v>7</v>
      </c>
      <c r="B36" s="2735" t="s">
        <v>2418</v>
      </c>
      <c r="C36" s="2736"/>
      <c r="D36" s="2737"/>
      <c r="E36" s="2738"/>
      <c r="F36" s="2739">
        <f>C36+D36+E36</f>
        <v>0</v>
      </c>
      <c r="G36" s="2593"/>
      <c r="H36" s="2600"/>
      <c r="I36" s="2601"/>
      <c r="J36" s="3457">
        <v>1</v>
      </c>
      <c r="K36" s="3458" t="s">
        <v>2419</v>
      </c>
      <c r="L36" s="2626"/>
      <c r="M36" s="2627"/>
      <c r="N36" s="2627"/>
      <c r="O36" s="2627"/>
      <c r="P36" s="2627"/>
      <c r="Q36" s="2627"/>
      <c r="R36" s="2610" t="s">
        <v>2331</v>
      </c>
      <c r="S36" s="2593"/>
      <c r="T36" s="2593" t="s">
        <v>2332</v>
      </c>
      <c r="U36" s="2593"/>
      <c r="V36" s="2601"/>
    </row>
    <row r="37" spans="1:23" s="2605" customFormat="1" ht="13.15" customHeight="1">
      <c r="A37" s="2681"/>
      <c r="B37" s="2682"/>
      <c r="C37" s="2682"/>
      <c r="D37" s="2682"/>
      <c r="E37" s="2682"/>
      <c r="F37" s="2686"/>
      <c r="G37" s="2593"/>
      <c r="H37" s="2600"/>
      <c r="I37" s="2601"/>
      <c r="J37" s="3457"/>
      <c r="K37" s="3459"/>
      <c r="L37" s="2635"/>
      <c r="M37" s="2636"/>
      <c r="N37" s="2612"/>
      <c r="O37" s="2637"/>
      <c r="P37" s="2637"/>
      <c r="Q37" s="2638"/>
      <c r="R37" s="2639"/>
      <c r="S37" s="2593"/>
      <c r="T37" s="2593" t="s">
        <v>2335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7"/>
      <c r="K38" s="3459"/>
      <c r="L38" s="2635"/>
      <c r="M38" s="2636"/>
      <c r="N38" s="2612"/>
      <c r="O38" s="2637"/>
      <c r="P38" s="2637"/>
      <c r="Q38" s="2638"/>
      <c r="R38" s="2639"/>
      <c r="S38" s="2593"/>
      <c r="T38" s="2593" t="s">
        <v>2342</v>
      </c>
      <c r="U38" s="2593"/>
      <c r="V38" s="2601"/>
    </row>
    <row r="39" spans="1:23" s="2605" customFormat="1" ht="13.15" customHeight="1">
      <c r="A39" s="2681">
        <v>9</v>
      </c>
      <c r="B39" s="2682" t="s">
        <v>2420</v>
      </c>
      <c r="C39" s="2649" t="e">
        <f>C38</f>
        <v>#DIV/0!</v>
      </c>
      <c r="D39" s="2682">
        <f>D38/(1+D34)^C36</f>
        <v>0</v>
      </c>
      <c r="E39" s="2682">
        <f>E38/(1+E34)^(C36+D36)</f>
        <v>0</v>
      </c>
      <c r="F39" s="2686"/>
      <c r="G39" s="2601"/>
      <c r="H39" s="2600"/>
      <c r="I39" s="2601"/>
      <c r="J39" s="3457"/>
      <c r="K39" s="3459"/>
      <c r="L39" s="2635"/>
      <c r="M39" s="2636"/>
      <c r="N39" s="2612"/>
      <c r="O39" s="2637"/>
      <c r="P39" s="2637"/>
      <c r="Q39" s="2638"/>
      <c r="R39" s="2639"/>
      <c r="S39" s="2593"/>
      <c r="T39" s="2593"/>
      <c r="U39" s="2593"/>
      <c r="V39" s="2601"/>
    </row>
    <row r="40" spans="1:23" s="2605" customFormat="1" ht="13.15" customHeight="1">
      <c r="A40" s="2740">
        <v>10</v>
      </c>
      <c r="B40" s="2682" t="s">
        <v>2421</v>
      </c>
      <c r="C40" s="2741" t="e">
        <f>C39+D39+E39</f>
        <v>#DIV/0!</v>
      </c>
      <c r="D40" s="2742"/>
      <c r="E40" s="2742"/>
      <c r="F40" s="2743"/>
      <c r="G40" s="2593"/>
      <c r="H40" s="2600"/>
      <c r="I40" s="2601"/>
      <c r="J40" s="3457"/>
      <c r="K40" s="3460"/>
      <c r="L40" s="2655" t="s">
        <v>2360</v>
      </c>
      <c r="M40" s="2656"/>
      <c r="N40" s="2656"/>
      <c r="O40" s="2657"/>
      <c r="P40" s="2657"/>
      <c r="Q40" s="2658"/>
      <c r="R40" s="2604">
        <f>SUM(R37:R39)</f>
        <v>0</v>
      </c>
      <c r="S40" s="2593"/>
      <c r="T40" s="2593"/>
      <c r="U40" s="2593"/>
      <c r="V40" s="2601"/>
    </row>
    <row r="41" spans="1:23" s="2605" customFormat="1" ht="13.15" customHeight="1" thickBot="1">
      <c r="A41" s="2744">
        <v>11</v>
      </c>
      <c r="B41" s="2745" t="s">
        <v>2422</v>
      </c>
      <c r="C41" s="2745" t="e">
        <f>ROUND(C40*10000/B4,0)</f>
        <v>#DIV/0!</v>
      </c>
      <c r="D41" s="2746"/>
      <c r="E41" s="2746"/>
      <c r="F41" s="2747"/>
      <c r="G41" s="2600"/>
      <c r="H41" s="2600"/>
      <c r="I41" s="2601"/>
      <c r="J41" s="2694">
        <v>2</v>
      </c>
      <c r="K41" s="2695" t="s">
        <v>2400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1">
        <v>3</v>
      </c>
      <c r="K42" s="2701" t="s">
        <v>2402</v>
      </c>
      <c r="L42" s="2702"/>
      <c r="M42" s="2703"/>
      <c r="N42" s="2704" t="s">
        <v>2403</v>
      </c>
      <c r="O42" s="2704" t="s">
        <v>2404</v>
      </c>
      <c r="P42" s="2705" t="s">
        <v>2405</v>
      </c>
      <c r="Q42" s="2705" t="s">
        <v>2406</v>
      </c>
      <c r="R42" s="2610" t="s">
        <v>2331</v>
      </c>
      <c r="S42" s="2644"/>
      <c r="T42" s="2644"/>
      <c r="U42" s="2593"/>
      <c r="V42" s="2601"/>
    </row>
    <row r="43" spans="1:23" ht="13.15" customHeight="1">
      <c r="A43" s="2605"/>
      <c r="B43" s="2605"/>
      <c r="C43" s="2605"/>
      <c r="D43" s="2605"/>
      <c r="E43" s="2605"/>
      <c r="F43" s="2605"/>
      <c r="I43" s="2588"/>
      <c r="J43" s="346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2409</v>
      </c>
      <c r="L44" s="2750" t="s">
        <v>2410</v>
      </c>
      <c r="M44" s="2716"/>
      <c r="N44" s="2750" t="s">
        <v>2411</v>
      </c>
      <c r="O44" s="2716"/>
      <c r="P44" s="2750" t="s">
        <v>2412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6917</v>
      </c>
      <c r="C2" s="1729" t="s">
        <v>1651</v>
      </c>
      <c r="D2" s="1730" t="s">
        <v>1652</v>
      </c>
      <c r="E2" s="2393">
        <f>SUM(E6:E13)</f>
        <v>15739.37</v>
      </c>
      <c r="F2" s="2480"/>
      <c r="G2" s="459"/>
      <c r="H2" s="459"/>
      <c r="I2" s="459"/>
      <c r="J2" s="459"/>
      <c r="K2" s="459"/>
      <c r="L2" s="459"/>
      <c r="M2" s="459"/>
      <c r="N2" s="459"/>
      <c r="O2" s="459"/>
      <c r="P2" s="459"/>
      <c r="Q2" s="459"/>
      <c r="R2" s="459"/>
      <c r="S2" s="459"/>
    </row>
    <row r="3" spans="1:22" ht="15.75">
      <c r="A3" s="1728" t="s">
        <v>686</v>
      </c>
      <c r="B3" s="2387">
        <f ca="1">ROUND(B2*10000/E2,0)</f>
        <v>4395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76" t="s">
        <v>1654</v>
      </c>
      <c r="C5" s="3477"/>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t="str">
        <f>'数据-取费表'!AN7</f>
        <v>收益法</v>
      </c>
      <c r="B7" s="2388">
        <f ca="1">IF(F7="是",'数据-取费表'!AO7,0)</f>
        <v>6917</v>
      </c>
      <c r="C7" s="1729" t="s">
        <v>1651</v>
      </c>
      <c r="D7" s="2480"/>
      <c r="E7" s="2392">
        <f>IF(OR(A7=0,F7="否"),0,'数据-取费表'!K7+'数据-取费表'!S7)</f>
        <v>15739.37</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估价对象为北京市房地产，为所有。根据《国有土地使用证》[]，估价对象（分摊）出让国有建设用地使用权面积为61673.46平方米，建筑面积为195888.83平方米。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估价对象为北京市房地产,属开发建设的，该项目尚在开发建设中。根据《国有土地使用证》[]，估价对象（分摊）出让国有建设用地使用权面积为61673.46平方米，规划建筑面积为195888.83平方米。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本次评估采用的主估价方法为成本法和假设开发法。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195888.83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2" t="s">
        <v>1667</v>
      </c>
      <c r="D4" s="3424"/>
      <c r="E4" s="3425" t="s">
        <v>1668</v>
      </c>
      <c r="F4" s="3426"/>
      <c r="G4" s="3412" t="s">
        <v>1669</v>
      </c>
      <c r="H4" s="3424"/>
      <c r="I4" s="3412" t="s">
        <v>1670</v>
      </c>
      <c r="J4" s="3424"/>
      <c r="K4" s="1744" t="s">
        <v>1671</v>
      </c>
      <c r="L4" s="2487"/>
      <c r="M4" s="2488"/>
      <c r="N4" s="2488"/>
      <c r="O4" s="2488"/>
      <c r="P4" s="3427" t="s">
        <v>1672</v>
      </c>
      <c r="Q4" s="3428"/>
      <c r="R4" s="3433" t="s">
        <v>1668</v>
      </c>
      <c r="S4" s="3434"/>
      <c r="T4" s="3433" t="s">
        <v>1669</v>
      </c>
      <c r="U4" s="3434"/>
      <c r="V4" s="3420" t="s">
        <v>1670</v>
      </c>
      <c r="W4" s="3420"/>
      <c r="X4" s="1265"/>
      <c r="Y4" s="3433" t="s">
        <v>1672</v>
      </c>
      <c r="Z4" s="3434"/>
      <c r="AA4" s="3421" t="s">
        <v>1668</v>
      </c>
      <c r="AB4" s="3421" t="s">
        <v>1669</v>
      </c>
      <c r="AC4" s="3421" t="s">
        <v>1670</v>
      </c>
    </row>
    <row r="5" spans="1:29" ht="15">
      <c r="A5" s="348"/>
      <c r="B5" s="349"/>
      <c r="C5" s="3441" t="s">
        <v>1673</v>
      </c>
      <c r="D5" s="3442"/>
      <c r="E5" s="3448" t="s">
        <v>1674</v>
      </c>
      <c r="F5" s="3449"/>
      <c r="G5" s="3441" t="s">
        <v>1675</v>
      </c>
      <c r="H5" s="3442"/>
      <c r="I5" s="3441" t="s">
        <v>1676</v>
      </c>
      <c r="J5" s="3442"/>
      <c r="K5" s="1745"/>
      <c r="L5" s="2487"/>
      <c r="M5" s="2488"/>
      <c r="N5" s="2488"/>
      <c r="O5" s="2488"/>
      <c r="P5" s="3429"/>
      <c r="Q5" s="3430"/>
      <c r="R5" s="3435"/>
      <c r="S5" s="3436"/>
      <c r="T5" s="3435"/>
      <c r="U5" s="3436"/>
      <c r="V5" s="3420"/>
      <c r="W5" s="3420"/>
      <c r="X5" s="1265"/>
      <c r="Y5" s="3435"/>
      <c r="Z5" s="3436"/>
      <c r="AA5" s="3422"/>
      <c r="AB5" s="3422"/>
      <c r="AC5" s="3422"/>
    </row>
    <row r="6" spans="1:29" ht="15.75" thickBot="1">
      <c r="A6" s="350"/>
      <c r="B6" s="351"/>
      <c r="C6" s="3439" t="s">
        <v>1677</v>
      </c>
      <c r="D6" s="3440"/>
      <c r="E6" s="3446" t="s">
        <v>1677</v>
      </c>
      <c r="F6" s="3447"/>
      <c r="G6" s="3439" t="s">
        <v>1677</v>
      </c>
      <c r="H6" s="3440"/>
      <c r="I6" s="3439" t="s">
        <v>1677</v>
      </c>
      <c r="J6" s="3440"/>
      <c r="K6" s="1745" t="s">
        <v>1678</v>
      </c>
      <c r="L6" s="2487"/>
      <c r="M6" s="2488"/>
      <c r="N6" s="2488"/>
      <c r="O6" s="2488"/>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3" t="s">
        <v>1680</v>
      </c>
      <c r="Q7" s="3445"/>
      <c r="R7" s="664" t="s">
        <v>20</v>
      </c>
      <c r="S7" s="665">
        <f t="shared" ref="S7:S15" si="0">F7</f>
        <v>0</v>
      </c>
      <c r="T7" s="664" t="s">
        <v>20</v>
      </c>
      <c r="U7" s="665">
        <f t="shared" ref="U7:U15" si="1">H7</f>
        <v>0</v>
      </c>
      <c r="V7" s="664" t="s">
        <v>20</v>
      </c>
      <c r="W7" s="665">
        <f t="shared" ref="W7:W15" si="2">J7</f>
        <v>0</v>
      </c>
      <c r="X7" s="666"/>
      <c r="Y7" s="3443" t="s">
        <v>1680</v>
      </c>
      <c r="Z7" s="344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3" t="s">
        <v>1683</v>
      </c>
      <c r="Q8" s="3444"/>
      <c r="R8" s="664" t="s">
        <v>20</v>
      </c>
      <c r="S8" s="665">
        <f t="shared" si="0"/>
        <v>100</v>
      </c>
      <c r="T8" s="664" t="s">
        <v>20</v>
      </c>
      <c r="U8" s="665">
        <f t="shared" si="1"/>
        <v>100</v>
      </c>
      <c r="V8" s="664" t="s">
        <v>20</v>
      </c>
      <c r="W8" s="665">
        <f t="shared" si="2"/>
        <v>100</v>
      </c>
      <c r="X8" s="666"/>
      <c r="Y8" s="3443" t="s">
        <v>1683</v>
      </c>
      <c r="Z8" s="344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4"/>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4"/>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4"/>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4"/>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3" t="s">
        <v>1691</v>
      </c>
      <c r="Q15" s="1263" t="str">
        <f t="shared" si="6"/>
        <v>居住社区成熟度</v>
      </c>
      <c r="R15" s="667" t="s">
        <v>18</v>
      </c>
      <c r="S15" s="668">
        <f t="shared" si="0"/>
        <v>100</v>
      </c>
      <c r="T15" s="667" t="s">
        <v>18</v>
      </c>
      <c r="U15" s="668">
        <f t="shared" si="1"/>
        <v>100</v>
      </c>
      <c r="V15" s="667" t="s">
        <v>18</v>
      </c>
      <c r="W15" s="668">
        <f t="shared" si="2"/>
        <v>100</v>
      </c>
      <c r="X15" s="1265"/>
      <c r="Y15" s="341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4"/>
      <c r="Q16" s="1263"/>
      <c r="R16" s="667"/>
      <c r="S16" s="668"/>
      <c r="T16" s="667"/>
      <c r="U16" s="668"/>
      <c r="V16" s="667"/>
      <c r="W16" s="668"/>
      <c r="X16" s="1265"/>
      <c r="Y16" s="341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4"/>
      <c r="Q17" s="1263" t="str">
        <f>B17</f>
        <v>交通便捷度</v>
      </c>
      <c r="R17" s="667" t="s">
        <v>18</v>
      </c>
      <c r="S17" s="668">
        <f>F17</f>
        <v>100</v>
      </c>
      <c r="T17" s="667" t="s">
        <v>18</v>
      </c>
      <c r="U17" s="668">
        <f>H17</f>
        <v>100</v>
      </c>
      <c r="V17" s="667" t="s">
        <v>18</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4"/>
      <c r="Q18" s="1263"/>
      <c r="R18" s="667"/>
      <c r="S18" s="668"/>
      <c r="T18" s="667"/>
      <c r="U18" s="668"/>
      <c r="V18" s="667"/>
      <c r="W18" s="668"/>
      <c r="X18" s="1265"/>
      <c r="Y18" s="341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4"/>
      <c r="Q19" s="1263" t="str">
        <f>B19</f>
        <v>公共配套设施</v>
      </c>
      <c r="R19" s="667" t="s">
        <v>18</v>
      </c>
      <c r="S19" s="668">
        <f>F19</f>
        <v>100</v>
      </c>
      <c r="T19" s="667" t="s">
        <v>18</v>
      </c>
      <c r="U19" s="668">
        <f>H19</f>
        <v>100</v>
      </c>
      <c r="V19" s="667" t="s">
        <v>18</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4"/>
      <c r="Q20" s="1263"/>
      <c r="R20" s="667"/>
      <c r="S20" s="668"/>
      <c r="T20" s="667"/>
      <c r="U20" s="668"/>
      <c r="V20" s="667"/>
      <c r="W20" s="668"/>
      <c r="X20" s="1265"/>
      <c r="Y20" s="341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4"/>
      <c r="Q22" s="1263"/>
      <c r="R22" s="667"/>
      <c r="S22" s="668"/>
      <c r="T22" s="667"/>
      <c r="U22" s="668"/>
      <c r="V22" s="667"/>
      <c r="W22" s="668"/>
      <c r="X22" s="1265"/>
      <c r="Y22" s="341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4"/>
      <c r="Q23" s="1263" t="str">
        <f>B23</f>
        <v>自然及人文环境</v>
      </c>
      <c r="R23" s="667" t="s">
        <v>18</v>
      </c>
      <c r="S23" s="668">
        <f>F23</f>
        <v>100</v>
      </c>
      <c r="T23" s="667" t="s">
        <v>18</v>
      </c>
      <c r="U23" s="668">
        <f>H23</f>
        <v>100</v>
      </c>
      <c r="V23" s="667" t="s">
        <v>18</v>
      </c>
      <c r="W23" s="668">
        <f>J23</f>
        <v>100</v>
      </c>
      <c r="X23" s="1265"/>
      <c r="Y23" s="341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4"/>
      <c r="Q24" s="1263"/>
      <c r="R24" s="667"/>
      <c r="S24" s="668"/>
      <c r="T24" s="667"/>
      <c r="U24" s="668"/>
      <c r="V24" s="667"/>
      <c r="W24" s="668"/>
      <c r="X24" s="1265"/>
      <c r="Y24" s="341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4"/>
      <c r="Q26" s="1263" t="str">
        <f t="shared" si="11"/>
        <v>朝向</v>
      </c>
      <c r="R26" s="667" t="s">
        <v>18</v>
      </c>
      <c r="S26" s="668">
        <f t="shared" si="12"/>
        <v>100</v>
      </c>
      <c r="T26" s="667" t="s">
        <v>18</v>
      </c>
      <c r="U26" s="668">
        <f t="shared" si="13"/>
        <v>100</v>
      </c>
      <c r="V26" s="667" t="s">
        <v>18</v>
      </c>
      <c r="W26" s="668">
        <f t="shared" si="14"/>
        <v>100</v>
      </c>
      <c r="X26" s="1265"/>
      <c r="Y26" s="341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4"/>
      <c r="Q27" s="530">
        <f t="shared" si="11"/>
        <v>111</v>
      </c>
      <c r="R27" s="664" t="s">
        <v>18</v>
      </c>
      <c r="S27" s="665">
        <f t="shared" si="12"/>
        <v>100</v>
      </c>
      <c r="T27" s="664" t="s">
        <v>18</v>
      </c>
      <c r="U27" s="665">
        <f t="shared" si="13"/>
        <v>100</v>
      </c>
      <c r="V27" s="664" t="s">
        <v>18</v>
      </c>
      <c r="W27" s="665">
        <f t="shared" si="14"/>
        <v>100</v>
      </c>
      <c r="X27" s="666"/>
      <c r="Y27" s="341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4"/>
      <c r="Q28" s="1263">
        <f t="shared" si="11"/>
        <v>111</v>
      </c>
      <c r="R28" s="667" t="s">
        <v>18</v>
      </c>
      <c r="S28" s="668">
        <f t="shared" si="12"/>
        <v>100</v>
      </c>
      <c r="T28" s="667" t="s">
        <v>18</v>
      </c>
      <c r="U28" s="668">
        <f t="shared" si="13"/>
        <v>100</v>
      </c>
      <c r="V28" s="667" t="s">
        <v>18</v>
      </c>
      <c r="W28" s="668">
        <f t="shared" si="14"/>
        <v>100</v>
      </c>
      <c r="X28" s="1265"/>
      <c r="Y28" s="341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4"/>
      <c r="Q29" s="1263">
        <f t="shared" si="11"/>
        <v>111</v>
      </c>
      <c r="R29" s="667" t="s">
        <v>18</v>
      </c>
      <c r="S29" s="668">
        <f t="shared" si="12"/>
        <v>100</v>
      </c>
      <c r="T29" s="667" t="s">
        <v>18</v>
      </c>
      <c r="U29" s="668">
        <f t="shared" si="13"/>
        <v>100</v>
      </c>
      <c r="V29" s="667" t="s">
        <v>18</v>
      </c>
      <c r="W29" s="668">
        <f t="shared" si="14"/>
        <v>100</v>
      </c>
      <c r="X29" s="1265"/>
      <c r="Y29" s="341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4"/>
      <c r="Q30" s="1263">
        <f t="shared" si="11"/>
        <v>111</v>
      </c>
      <c r="R30" s="667" t="s">
        <v>18</v>
      </c>
      <c r="S30" s="668">
        <f t="shared" si="12"/>
        <v>100</v>
      </c>
      <c r="T30" s="667" t="s">
        <v>18</v>
      </c>
      <c r="U30" s="668">
        <f t="shared" si="13"/>
        <v>100</v>
      </c>
      <c r="V30" s="667" t="s">
        <v>18</v>
      </c>
      <c r="W30" s="668">
        <f t="shared" si="14"/>
        <v>100</v>
      </c>
      <c r="X30" s="1265"/>
      <c r="Y30" s="341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4"/>
      <c r="Q31" s="1263">
        <f t="shared" si="11"/>
        <v>111</v>
      </c>
      <c r="R31" s="667" t="s">
        <v>18</v>
      </c>
      <c r="S31" s="668">
        <f t="shared" si="12"/>
        <v>100</v>
      </c>
      <c r="T31" s="667" t="s">
        <v>18</v>
      </c>
      <c r="U31" s="668">
        <f t="shared" si="13"/>
        <v>100</v>
      </c>
      <c r="V31" s="667" t="s">
        <v>18</v>
      </c>
      <c r="W31" s="668">
        <f t="shared" si="14"/>
        <v>100</v>
      </c>
      <c r="X31" s="1265"/>
      <c r="Y31" s="341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79"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0"/>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0"/>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0"/>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0"/>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0"/>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0"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0"/>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0"/>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0"/>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0"/>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0"/>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0"/>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0"/>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1"/>
      <c r="Q46" s="1263">
        <f t="shared" si="11"/>
        <v>111</v>
      </c>
      <c r="R46" s="667" t="s">
        <v>17</v>
      </c>
      <c r="S46" s="668">
        <f t="shared" si="12"/>
        <v>100</v>
      </c>
      <c r="T46" s="667" t="s">
        <v>17</v>
      </c>
      <c r="U46" s="668">
        <f t="shared" si="13"/>
        <v>100</v>
      </c>
      <c r="V46" s="667" t="s">
        <v>17</v>
      </c>
      <c r="W46" s="668">
        <f t="shared" si="14"/>
        <v>100</v>
      </c>
      <c r="X46" s="1265"/>
      <c r="Y46" s="348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5" t="str">
        <f>A47</f>
        <v>成交单价（元/平方米）</v>
      </c>
      <c r="Q47" s="3415"/>
      <c r="R47" s="3420">
        <f>E47</f>
        <v>0</v>
      </c>
      <c r="S47" s="3420"/>
      <c r="T47" s="3420">
        <f>G47</f>
        <v>0</v>
      </c>
      <c r="U47" s="3420"/>
      <c r="V47" s="3420">
        <f>I47</f>
        <v>0</v>
      </c>
      <c r="W47" s="3420"/>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15" t="str">
        <f>A48</f>
        <v>比较价值（元/平方米）</v>
      </c>
      <c r="Q48" s="341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9" t="str">
        <f>A49</f>
        <v>估价对象XX用房的比较价值（楼面单价，元/平方米）</v>
      </c>
      <c r="Q49" s="3410"/>
      <c r="R49" s="3478" t="e">
        <f>IF(F1="售价",ROUND(IF(D48="简单平均",AVERAGE(R48:V48),R48*F48+T48*H48+V48*J48),0),ROUND(IF(D48="简单平均",AVERAGE(R48:V48),R48*F48+T48*H48+V48*J48),1))</f>
        <v>#DIV/0!</v>
      </c>
      <c r="S49" s="3478"/>
      <c r="T49" s="3478"/>
      <c r="U49" s="3478"/>
      <c r="V49" s="3478"/>
      <c r="W49" s="34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195888.83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27" t="s">
        <v>1775</v>
      </c>
      <c r="Q4" s="3428"/>
      <c r="R4" s="3433" t="s">
        <v>1771</v>
      </c>
      <c r="S4" s="3434"/>
      <c r="T4" s="3433" t="s">
        <v>1772</v>
      </c>
      <c r="U4" s="3434"/>
      <c r="V4" s="3420" t="s">
        <v>1773</v>
      </c>
      <c r="W4" s="3420"/>
      <c r="X4" s="1265"/>
      <c r="Y4" s="3433" t="s">
        <v>1775</v>
      </c>
      <c r="Z4" s="3434"/>
      <c r="AA4" s="3421" t="s">
        <v>1771</v>
      </c>
      <c r="AB4" s="3420" t="s">
        <v>1772</v>
      </c>
      <c r="AC4" s="3421" t="s">
        <v>1773</v>
      </c>
    </row>
    <row r="5" spans="1:29" ht="15">
      <c r="A5" s="348"/>
      <c r="B5" s="349"/>
      <c r="C5" s="3441" t="s">
        <v>1673</v>
      </c>
      <c r="D5" s="3442"/>
      <c r="E5" s="3448" t="s">
        <v>1674</v>
      </c>
      <c r="F5" s="3449"/>
      <c r="G5" s="3441" t="s">
        <v>1675</v>
      </c>
      <c r="H5" s="3442"/>
      <c r="I5" s="3441" t="s">
        <v>1676</v>
      </c>
      <c r="J5" s="3442"/>
      <c r="K5" s="537"/>
      <c r="L5" s="2487"/>
      <c r="M5" s="2488"/>
      <c r="N5" s="2488"/>
      <c r="O5" s="2488"/>
      <c r="P5" s="3429"/>
      <c r="Q5" s="3430"/>
      <c r="R5" s="3435"/>
      <c r="S5" s="3436"/>
      <c r="T5" s="3435"/>
      <c r="U5" s="3436"/>
      <c r="V5" s="3420"/>
      <c r="W5" s="3420"/>
      <c r="X5" s="1265"/>
      <c r="Y5" s="3435"/>
      <c r="Z5" s="3436"/>
      <c r="AA5" s="3422"/>
      <c r="AB5" s="3420"/>
      <c r="AC5" s="3422"/>
    </row>
    <row r="6" spans="1:29" ht="15.75" thickBot="1">
      <c r="A6" s="350"/>
      <c r="B6" s="351"/>
      <c r="C6" s="3439" t="s">
        <v>1677</v>
      </c>
      <c r="D6" s="3440"/>
      <c r="E6" s="3446" t="s">
        <v>1677</v>
      </c>
      <c r="F6" s="3447"/>
      <c r="G6" s="3439" t="s">
        <v>1677</v>
      </c>
      <c r="H6" s="3440"/>
      <c r="I6" s="3439" t="s">
        <v>1677</v>
      </c>
      <c r="J6" s="3440"/>
      <c r="K6" s="537" t="s">
        <v>1678</v>
      </c>
      <c r="L6" s="2487"/>
      <c r="M6" s="2488"/>
      <c r="N6" s="2488"/>
      <c r="O6" s="2488"/>
      <c r="P6" s="3431"/>
      <c r="Q6" s="3432"/>
      <c r="R6" s="3435"/>
      <c r="S6" s="3436"/>
      <c r="T6" s="3437"/>
      <c r="U6" s="3438"/>
      <c r="V6" s="3420"/>
      <c r="W6" s="3420"/>
      <c r="X6" s="1265"/>
      <c r="Y6" s="3437"/>
      <c r="Z6" s="3438"/>
      <c r="AA6" s="3423"/>
      <c r="AB6" s="3420"/>
      <c r="AC6" s="3423"/>
    </row>
    <row r="7" spans="1:29" s="102" customFormat="1" ht="15.75" thickBot="1">
      <c r="A7" s="352" t="s">
        <v>1679</v>
      </c>
      <c r="B7" s="353"/>
      <c r="C7" s="354">
        <f>'数据-取费表'!B2</f>
        <v>45962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3" t="s">
        <v>1683</v>
      </c>
      <c r="Q8" s="3444"/>
      <c r="R8" s="664" t="s">
        <v>14</v>
      </c>
      <c r="S8" s="665">
        <f t="shared" si="0"/>
        <v>100</v>
      </c>
      <c r="T8" s="664" t="s">
        <v>14</v>
      </c>
      <c r="U8" s="665">
        <f t="shared" si="1"/>
        <v>100</v>
      </c>
      <c r="V8" s="664" t="s">
        <v>14</v>
      </c>
      <c r="W8" s="665">
        <f t="shared" si="2"/>
        <v>100</v>
      </c>
      <c r="X8" s="666"/>
      <c r="Y8" s="3443" t="s">
        <v>1683</v>
      </c>
      <c r="Z8" s="344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4"/>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83" t="s">
        <v>1691</v>
      </c>
      <c r="Q15" s="1263" t="str">
        <f t="shared" si="6"/>
        <v>商业繁华度</v>
      </c>
      <c r="R15" s="667" t="s">
        <v>14</v>
      </c>
      <c r="S15" s="668">
        <f t="shared" si="0"/>
        <v>100</v>
      </c>
      <c r="T15" s="667" t="s">
        <v>14</v>
      </c>
      <c r="U15" s="668">
        <f t="shared" si="1"/>
        <v>100</v>
      </c>
      <c r="V15" s="667" t="s">
        <v>14</v>
      </c>
      <c r="W15" s="668">
        <f t="shared" si="2"/>
        <v>100</v>
      </c>
      <c r="X15" s="1265"/>
      <c r="Y15" s="341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84"/>
      <c r="Q16" s="1263"/>
      <c r="R16" s="667"/>
      <c r="S16" s="668"/>
      <c r="T16" s="667"/>
      <c r="U16" s="668"/>
      <c r="V16" s="667"/>
      <c r="W16" s="668"/>
      <c r="X16" s="1265"/>
      <c r="Y16" s="341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8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84"/>
      <c r="Q18" s="1263"/>
      <c r="R18" s="667"/>
      <c r="S18" s="668"/>
      <c r="T18" s="667"/>
      <c r="U18" s="668"/>
      <c r="V18" s="667"/>
      <c r="W18" s="668"/>
      <c r="X18" s="1265"/>
      <c r="Y18" s="341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84"/>
      <c r="Q20" s="1263"/>
      <c r="R20" s="667"/>
      <c r="S20" s="668"/>
      <c r="T20" s="667"/>
      <c r="U20" s="668"/>
      <c r="V20" s="667"/>
      <c r="W20" s="668"/>
      <c r="X20" s="1265"/>
      <c r="Y20" s="341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84"/>
      <c r="Q22" s="1263"/>
      <c r="R22" s="667"/>
      <c r="S22" s="668"/>
      <c r="T22" s="667"/>
      <c r="U22" s="668"/>
      <c r="V22" s="667"/>
      <c r="W22" s="668"/>
      <c r="X22" s="1265"/>
      <c r="Y22" s="341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4"/>
      <c r="Q23" s="1263" t="str">
        <f>B23</f>
        <v>自然及人文环境</v>
      </c>
      <c r="R23" s="667" t="s">
        <v>14</v>
      </c>
      <c r="S23" s="668">
        <f>F23</f>
        <v>100</v>
      </c>
      <c r="T23" s="667" t="s">
        <v>14</v>
      </c>
      <c r="U23" s="668">
        <f>H23</f>
        <v>100</v>
      </c>
      <c r="V23" s="667" t="s">
        <v>14</v>
      </c>
      <c r="W23" s="668">
        <f>J23</f>
        <v>100</v>
      </c>
      <c r="X23" s="1265"/>
      <c r="Y23" s="341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84"/>
      <c r="Q24" s="1263"/>
      <c r="R24" s="667"/>
      <c r="S24" s="668"/>
      <c r="T24" s="667"/>
      <c r="U24" s="668"/>
      <c r="V24" s="667"/>
      <c r="W24" s="668"/>
      <c r="X24" s="1265"/>
      <c r="Y24" s="341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4"/>
      <c r="Q25" s="1263" t="str">
        <f t="shared" ref="Q25:Q46" si="11">B25</f>
        <v>临街状况</v>
      </c>
      <c r="R25" s="667" t="s">
        <v>14</v>
      </c>
      <c r="S25" s="668">
        <f>F25</f>
        <v>100</v>
      </c>
      <c r="T25" s="667" t="s">
        <v>14</v>
      </c>
      <c r="U25" s="668">
        <f>H25</f>
        <v>100</v>
      </c>
      <c r="V25" s="667" t="s">
        <v>14</v>
      </c>
      <c r="W25" s="668">
        <f>J25</f>
        <v>100</v>
      </c>
      <c r="X25" s="1265"/>
      <c r="Y25" s="341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4"/>
      <c r="Q26" s="1263" t="str">
        <f t="shared" si="11"/>
        <v>平面位置/可视性</v>
      </c>
      <c r="R26" s="667" t="s">
        <v>14</v>
      </c>
      <c r="S26" s="668">
        <f>F26</f>
        <v>100</v>
      </c>
      <c r="T26" s="667" t="s">
        <v>14</v>
      </c>
      <c r="U26" s="668">
        <f>H26</f>
        <v>100</v>
      </c>
      <c r="V26" s="667" t="s">
        <v>14</v>
      </c>
      <c r="W26" s="668">
        <f>J26</f>
        <v>100</v>
      </c>
      <c r="X26" s="1265"/>
      <c r="Y26" s="341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84"/>
      <c r="Q27" s="530" t="str">
        <f t="shared" si="11"/>
        <v>人流量</v>
      </c>
      <c r="R27" s="664" t="s">
        <v>14</v>
      </c>
      <c r="S27" s="665">
        <f>F27</f>
        <v>100</v>
      </c>
      <c r="T27" s="664" t="s">
        <v>14</v>
      </c>
      <c r="U27" s="665">
        <f>H27</f>
        <v>100</v>
      </c>
      <c r="V27" s="664" t="s">
        <v>14</v>
      </c>
      <c r="W27" s="665">
        <f>J27</f>
        <v>100</v>
      </c>
      <c r="X27" s="666"/>
      <c r="Y27" s="341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84"/>
      <c r="Q29" s="1263">
        <f t="shared" si="11"/>
        <v>111</v>
      </c>
      <c r="R29" s="667" t="s">
        <v>14</v>
      </c>
      <c r="S29" s="668">
        <f t="shared" si="12"/>
        <v>100</v>
      </c>
      <c r="T29" s="667" t="s">
        <v>14</v>
      </c>
      <c r="U29" s="668">
        <f t="shared" si="13"/>
        <v>100</v>
      </c>
      <c r="V29" s="667" t="s">
        <v>14</v>
      </c>
      <c r="W29" s="668">
        <f t="shared" si="14"/>
        <v>100</v>
      </c>
      <c r="X29" s="1265"/>
      <c r="Y29" s="341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79"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80"/>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80"/>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80"/>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80"/>
      <c r="Q36" s="1263" t="str">
        <f t="shared" si="11"/>
        <v>成新度</v>
      </c>
      <c r="R36" s="667" t="s">
        <v>14</v>
      </c>
      <c r="S36" s="668" t="e">
        <f t="shared" si="12"/>
        <v>#N/A</v>
      </c>
      <c r="T36" s="667" t="s">
        <v>14</v>
      </c>
      <c r="U36" s="668" t="e">
        <f t="shared" si="13"/>
        <v>#N/A</v>
      </c>
      <c r="V36" s="667" t="s">
        <v>14</v>
      </c>
      <c r="W36" s="668" t="e">
        <f t="shared" si="14"/>
        <v>#N/A</v>
      </c>
      <c r="X36" s="1265"/>
      <c r="Y36" s="341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80"/>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0"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80"/>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0"/>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0"/>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80"/>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80"/>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0"/>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0"/>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1"/>
      <c r="Q46" s="1263">
        <f t="shared" si="11"/>
        <v>111</v>
      </c>
      <c r="R46" s="667" t="s">
        <v>14</v>
      </c>
      <c r="S46" s="668">
        <f t="shared" si="12"/>
        <v>100</v>
      </c>
      <c r="T46" s="667" t="s">
        <v>14</v>
      </c>
      <c r="U46" s="668">
        <f t="shared" si="13"/>
        <v>100</v>
      </c>
      <c r="V46" s="667" t="s">
        <v>14</v>
      </c>
      <c r="W46" s="668">
        <f t="shared" si="14"/>
        <v>100</v>
      </c>
      <c r="X46" s="1265"/>
      <c r="Y46" s="348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5" t="str">
        <f>A47</f>
        <v>成交单价（元/平方米）</v>
      </c>
      <c r="Q47" s="3415"/>
      <c r="R47" s="3420">
        <f>E47</f>
        <v>0</v>
      </c>
      <c r="S47" s="3420"/>
      <c r="T47" s="3420">
        <f>G47</f>
        <v>0</v>
      </c>
      <c r="U47" s="3420"/>
      <c r="V47" s="3420">
        <f>I47</f>
        <v>0</v>
      </c>
      <c r="W47" s="3420"/>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15" t="str">
        <f>A48</f>
        <v>比较价值（元/平方米）</v>
      </c>
      <c r="Q48" s="3415"/>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9" t="str">
        <f>A49</f>
        <v>估价对象XX用房的比较价值（楼面单价，元/平方米）</v>
      </c>
      <c r="Q49" s="3410"/>
      <c r="R49" s="3478" t="e">
        <f>IF(F1="售价",ROUND(IF(D48="简单平均",AVERAGE(R48:V48),R48*F48+T48*H48+V48*J48),0),ROUND(IF(D48="简单平均",AVERAGE(R48:V48),R48*F48+T48*H48+V48*J48),1))</f>
        <v>#DIV/0!</v>
      </c>
      <c r="S49" s="3478"/>
      <c r="T49" s="3478"/>
      <c r="U49" s="3478"/>
      <c r="V49" s="3478"/>
      <c r="W49" s="34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195888.83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91" t="s">
        <v>1775</v>
      </c>
      <c r="Q4" s="3492"/>
      <c r="R4" s="3495" t="s">
        <v>1771</v>
      </c>
      <c r="S4" s="3496"/>
      <c r="T4" s="3495" t="s">
        <v>1772</v>
      </c>
      <c r="U4" s="3496"/>
      <c r="V4" s="3497" t="s">
        <v>1773</v>
      </c>
      <c r="W4" s="3497"/>
      <c r="X4" s="1809"/>
      <c r="Y4" s="3495" t="s">
        <v>1775</v>
      </c>
      <c r="Z4" s="3496"/>
      <c r="AA4" s="3499" t="s">
        <v>1771</v>
      </c>
      <c r="AB4" s="3499" t="s">
        <v>1772</v>
      </c>
      <c r="AC4" s="3488" t="s">
        <v>1773</v>
      </c>
    </row>
    <row r="5" spans="1:29" ht="15">
      <c r="A5" s="348"/>
      <c r="B5" s="349"/>
      <c r="C5" s="3441" t="s">
        <v>1673</v>
      </c>
      <c r="D5" s="3442"/>
      <c r="E5" s="3448" t="s">
        <v>1674</v>
      </c>
      <c r="F5" s="3449"/>
      <c r="G5" s="3441" t="s">
        <v>1675</v>
      </c>
      <c r="H5" s="3442"/>
      <c r="I5" s="3441" t="s">
        <v>1676</v>
      </c>
      <c r="J5" s="3442"/>
      <c r="K5" s="537"/>
      <c r="L5" s="2487"/>
      <c r="M5" s="2488"/>
      <c r="N5" s="2488"/>
      <c r="O5" s="2488"/>
      <c r="P5" s="3493"/>
      <c r="Q5" s="3430"/>
      <c r="R5" s="3435"/>
      <c r="S5" s="3436"/>
      <c r="T5" s="3435"/>
      <c r="U5" s="3436"/>
      <c r="V5" s="3420"/>
      <c r="W5" s="3420"/>
      <c r="X5" s="1265"/>
      <c r="Y5" s="3435"/>
      <c r="Z5" s="3436"/>
      <c r="AA5" s="3422"/>
      <c r="AB5" s="3422"/>
      <c r="AC5" s="3489"/>
    </row>
    <row r="6" spans="1:29" ht="15.75" thickBot="1">
      <c r="A6" s="350"/>
      <c r="B6" s="351"/>
      <c r="C6" s="3439" t="s">
        <v>1677</v>
      </c>
      <c r="D6" s="3440"/>
      <c r="E6" s="3446" t="s">
        <v>1677</v>
      </c>
      <c r="F6" s="3447"/>
      <c r="G6" s="3439" t="s">
        <v>1677</v>
      </c>
      <c r="H6" s="3440"/>
      <c r="I6" s="3439" t="s">
        <v>1677</v>
      </c>
      <c r="J6" s="3440"/>
      <c r="K6" s="537" t="s">
        <v>1678</v>
      </c>
      <c r="L6" s="2487"/>
      <c r="M6" s="2488"/>
      <c r="N6" s="2488"/>
      <c r="O6" s="2488"/>
      <c r="P6" s="3494"/>
      <c r="Q6" s="3432"/>
      <c r="R6" s="3435"/>
      <c r="S6" s="3436"/>
      <c r="T6" s="3437"/>
      <c r="U6" s="3438"/>
      <c r="V6" s="3420"/>
      <c r="W6" s="3420"/>
      <c r="X6" s="1265"/>
      <c r="Y6" s="3437"/>
      <c r="Z6" s="3438"/>
      <c r="AA6" s="3423"/>
      <c r="AB6" s="3423"/>
      <c r="AC6" s="3490"/>
    </row>
    <row r="7" spans="1:29" s="102" customFormat="1" ht="15.75" thickBot="1">
      <c r="A7" s="352" t="s">
        <v>1679</v>
      </c>
      <c r="B7" s="353"/>
      <c r="C7" s="354">
        <f>'数据-取费表'!B2</f>
        <v>45962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8"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8" t="s">
        <v>1683</v>
      </c>
      <c r="Q8" s="3444"/>
      <c r="R8" s="664" t="s">
        <v>14</v>
      </c>
      <c r="S8" s="665">
        <f t="shared" si="0"/>
        <v>100</v>
      </c>
      <c r="T8" s="664" t="s">
        <v>14</v>
      </c>
      <c r="U8" s="665">
        <f t="shared" si="1"/>
        <v>100</v>
      </c>
      <c r="V8" s="664" t="s">
        <v>14</v>
      </c>
      <c r="W8" s="665">
        <f t="shared" si="2"/>
        <v>100</v>
      </c>
      <c r="X8" s="666"/>
      <c r="Y8" s="3443" t="s">
        <v>1683</v>
      </c>
      <c r="Z8" s="344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4"/>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83" t="s">
        <v>1691</v>
      </c>
      <c r="Q15" s="1263" t="str">
        <f t="shared" si="6"/>
        <v>办公集聚程度</v>
      </c>
      <c r="R15" s="667" t="s">
        <v>14</v>
      </c>
      <c r="S15" s="668">
        <f t="shared" si="0"/>
        <v>100</v>
      </c>
      <c r="T15" s="667" t="s">
        <v>14</v>
      </c>
      <c r="U15" s="668">
        <f t="shared" si="1"/>
        <v>100</v>
      </c>
      <c r="V15" s="667" t="s">
        <v>14</v>
      </c>
      <c r="W15" s="668">
        <f t="shared" si="2"/>
        <v>100</v>
      </c>
      <c r="X15" s="1265"/>
      <c r="Y15" s="341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84"/>
      <c r="Q16" s="1263"/>
      <c r="R16" s="667"/>
      <c r="S16" s="668"/>
      <c r="T16" s="667"/>
      <c r="U16" s="668"/>
      <c r="V16" s="667"/>
      <c r="W16" s="668"/>
      <c r="X16" s="1265"/>
      <c r="Y16" s="341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84"/>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84"/>
      <c r="Q18" s="1263"/>
      <c r="R18" s="667"/>
      <c r="S18" s="668"/>
      <c r="T18" s="667"/>
      <c r="U18" s="668"/>
      <c r="V18" s="667"/>
      <c r="W18" s="668"/>
      <c r="X18" s="1265"/>
      <c r="Y18" s="341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4"/>
      <c r="Q20" s="1263"/>
      <c r="R20" s="667"/>
      <c r="S20" s="668"/>
      <c r="T20" s="667"/>
      <c r="U20" s="668"/>
      <c r="V20" s="667"/>
      <c r="W20" s="668"/>
      <c r="X20" s="1265"/>
      <c r="Y20" s="341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4"/>
      <c r="Q22" s="1263"/>
      <c r="R22" s="667"/>
      <c r="S22" s="668"/>
      <c r="T22" s="667"/>
      <c r="U22" s="668"/>
      <c r="V22" s="667"/>
      <c r="W22" s="668"/>
      <c r="X22" s="1265"/>
      <c r="Y22" s="341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4"/>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4"/>
      <c r="Q24" s="1263"/>
      <c r="R24" s="667"/>
      <c r="S24" s="668"/>
      <c r="T24" s="667"/>
      <c r="U24" s="668"/>
      <c r="V24" s="667"/>
      <c r="W24" s="668"/>
      <c r="X24" s="1265"/>
      <c r="Y24" s="341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4"/>
      <c r="Q25" s="1263" t="str">
        <f>B25</f>
        <v>毗邻道路的类型与等级</v>
      </c>
      <c r="R25" s="667" t="s">
        <v>14</v>
      </c>
      <c r="S25" s="668">
        <f>F25</f>
        <v>100</v>
      </c>
      <c r="T25" s="667" t="s">
        <v>14</v>
      </c>
      <c r="U25" s="668">
        <f>H25</f>
        <v>100</v>
      </c>
      <c r="V25" s="667" t="s">
        <v>14</v>
      </c>
      <c r="W25" s="668">
        <f>J25</f>
        <v>100</v>
      </c>
      <c r="X25" s="1265"/>
      <c r="Y25" s="341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4"/>
      <c r="Q26" s="1263"/>
      <c r="R26" s="667"/>
      <c r="S26" s="668"/>
      <c r="T26" s="667"/>
      <c r="U26" s="668"/>
      <c r="V26" s="667"/>
      <c r="W26" s="668"/>
      <c r="X26" s="1265"/>
      <c r="Y26" s="341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4"/>
      <c r="Q27" s="1263" t="str">
        <f t="shared" ref="Q27:Q47" si="11">B27</f>
        <v>楼层</v>
      </c>
      <c r="R27" s="667" t="s">
        <v>14</v>
      </c>
      <c r="S27" s="668">
        <f>F27</f>
        <v>100</v>
      </c>
      <c r="T27" s="667" t="s">
        <v>14</v>
      </c>
      <c r="U27" s="668">
        <f>H27</f>
        <v>100</v>
      </c>
      <c r="V27" s="667" t="s">
        <v>14</v>
      </c>
      <c r="W27" s="668">
        <f>J27</f>
        <v>100</v>
      </c>
      <c r="X27" s="1265"/>
      <c r="Y27" s="341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4"/>
      <c r="Q28" s="530" t="str">
        <f t="shared" si="11"/>
        <v>朝向</v>
      </c>
      <c r="R28" s="664" t="s">
        <v>14</v>
      </c>
      <c r="S28" s="665">
        <f>F28</f>
        <v>100</v>
      </c>
      <c r="T28" s="664" t="s">
        <v>14</v>
      </c>
      <c r="U28" s="665">
        <f>H28</f>
        <v>100</v>
      </c>
      <c r="V28" s="664" t="s">
        <v>14</v>
      </c>
      <c r="W28" s="665">
        <f>J28</f>
        <v>100</v>
      </c>
      <c r="X28" s="666"/>
      <c r="Y28" s="341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4"/>
      <c r="Q29" s="1263">
        <f t="shared" si="11"/>
        <v>111</v>
      </c>
      <c r="R29" s="667" t="s">
        <v>14</v>
      </c>
      <c r="S29" s="668">
        <f t="shared" ref="S29:S47" si="12">F29</f>
        <v>100</v>
      </c>
      <c r="T29" s="667" t="s">
        <v>14</v>
      </c>
      <c r="U29" s="668">
        <f t="shared" ref="U29:U47" si="13">H29</f>
        <v>100</v>
      </c>
      <c r="V29" s="667" t="s">
        <v>14</v>
      </c>
      <c r="W29" s="668">
        <f t="shared" ref="W29:W47" si="14">J29</f>
        <v>100</v>
      </c>
      <c r="X29" s="1265"/>
      <c r="Y29" s="341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1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1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4"/>
      <c r="Q32" s="1263">
        <f t="shared" si="11"/>
        <v>111</v>
      </c>
      <c r="R32" s="667" t="s">
        <v>14</v>
      </c>
      <c r="S32" s="668">
        <f t="shared" si="12"/>
        <v>100</v>
      </c>
      <c r="T32" s="667" t="s">
        <v>14</v>
      </c>
      <c r="U32" s="668">
        <f t="shared" si="13"/>
        <v>100</v>
      </c>
      <c r="V32" s="667" t="s">
        <v>14</v>
      </c>
      <c r="W32" s="668">
        <f t="shared" si="14"/>
        <v>100</v>
      </c>
      <c r="X32" s="1265"/>
      <c r="Y32" s="341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79"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80"/>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80"/>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80"/>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80"/>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0"/>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80"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0"/>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80"/>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0"/>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80"/>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80"/>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80"/>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0"/>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1"/>
      <c r="Q47" s="1263">
        <f t="shared" si="11"/>
        <v>111</v>
      </c>
      <c r="R47" s="667" t="s">
        <v>14</v>
      </c>
      <c r="S47" s="668">
        <f t="shared" si="12"/>
        <v>100</v>
      </c>
      <c r="T47" s="667" t="s">
        <v>14</v>
      </c>
      <c r="U47" s="668">
        <f t="shared" si="13"/>
        <v>100</v>
      </c>
      <c r="V47" s="667" t="s">
        <v>14</v>
      </c>
      <c r="W47" s="668">
        <f t="shared" si="14"/>
        <v>100</v>
      </c>
      <c r="X47" s="1265"/>
      <c r="Y47" s="348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4" t="str">
        <f>A48</f>
        <v>成交单价（元/平方米）</v>
      </c>
      <c r="Q48" s="3415"/>
      <c r="R48" s="3420">
        <f>E48</f>
        <v>0</v>
      </c>
      <c r="S48" s="3420"/>
      <c r="T48" s="3420">
        <f>G48</f>
        <v>0</v>
      </c>
      <c r="U48" s="3420"/>
      <c r="V48" s="3420">
        <f>I48</f>
        <v>0</v>
      </c>
      <c r="W48" s="3420"/>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14" t="str">
        <f>A49</f>
        <v>比较价值（元/平方米）</v>
      </c>
      <c r="Q49" s="3415"/>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195888.83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2" t="s">
        <v>1770</v>
      </c>
      <c r="D4" s="3424"/>
      <c r="E4" s="3425" t="s">
        <v>1771</v>
      </c>
      <c r="F4" s="3426"/>
      <c r="G4" s="3412" t="s">
        <v>1772</v>
      </c>
      <c r="H4" s="3424"/>
      <c r="I4" s="3412" t="s">
        <v>1773</v>
      </c>
      <c r="J4" s="3424"/>
      <c r="K4" s="537" t="s">
        <v>1774</v>
      </c>
      <c r="L4" s="860"/>
      <c r="M4" s="861"/>
      <c r="N4" s="861"/>
      <c r="O4" s="861"/>
      <c r="P4" s="3427" t="s">
        <v>1775</v>
      </c>
      <c r="Q4" s="3428"/>
      <c r="R4" s="3433" t="s">
        <v>1771</v>
      </c>
      <c r="S4" s="3434"/>
      <c r="T4" s="3433" t="s">
        <v>1772</v>
      </c>
      <c r="U4" s="3434"/>
      <c r="V4" s="3420" t="s">
        <v>1773</v>
      </c>
      <c r="W4" s="3420"/>
      <c r="X4" s="1265"/>
      <c r="Y4" s="3433" t="s">
        <v>1775</v>
      </c>
      <c r="Z4" s="3434"/>
      <c r="AA4" s="3421" t="s">
        <v>1771</v>
      </c>
      <c r="AB4" s="3422" t="s">
        <v>1772</v>
      </c>
      <c r="AC4" s="3421" t="s">
        <v>1773</v>
      </c>
    </row>
    <row r="5" spans="1:29" ht="15">
      <c r="A5" s="348"/>
      <c r="B5" s="349"/>
      <c r="C5" s="3441" t="s">
        <v>1673</v>
      </c>
      <c r="D5" s="3442"/>
      <c r="E5" s="3448" t="s">
        <v>1674</v>
      </c>
      <c r="F5" s="3449"/>
      <c r="G5" s="3441" t="s">
        <v>1675</v>
      </c>
      <c r="H5" s="3442"/>
      <c r="I5" s="3441" t="s">
        <v>1676</v>
      </c>
      <c r="J5" s="3442"/>
      <c r="K5" s="537"/>
      <c r="L5" s="860"/>
      <c r="M5" s="861"/>
      <c r="N5" s="861"/>
      <c r="O5" s="861"/>
      <c r="P5" s="3429"/>
      <c r="Q5" s="3430"/>
      <c r="R5" s="3435"/>
      <c r="S5" s="3436"/>
      <c r="T5" s="3435"/>
      <c r="U5" s="3436"/>
      <c r="V5" s="3420"/>
      <c r="W5" s="3420"/>
      <c r="X5" s="1265"/>
      <c r="Y5" s="3435"/>
      <c r="Z5" s="3436"/>
      <c r="AA5" s="3422"/>
      <c r="AB5" s="3422"/>
      <c r="AC5" s="3422"/>
    </row>
    <row r="6" spans="1:29" ht="15.75" thickBot="1">
      <c r="A6" s="350"/>
      <c r="B6" s="351"/>
      <c r="C6" s="3439" t="s">
        <v>1677</v>
      </c>
      <c r="D6" s="3440"/>
      <c r="E6" s="3446" t="s">
        <v>1677</v>
      </c>
      <c r="F6" s="3447"/>
      <c r="G6" s="3439" t="s">
        <v>1677</v>
      </c>
      <c r="H6" s="3440"/>
      <c r="I6" s="3439" t="s">
        <v>1677</v>
      </c>
      <c r="J6" s="3440"/>
      <c r="K6" s="537" t="s">
        <v>1678</v>
      </c>
      <c r="L6" s="860"/>
      <c r="M6" s="861"/>
      <c r="N6" s="861"/>
      <c r="O6" s="861"/>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c r="F7" s="357">
        <f>SUMIF(52:52,YEAR(E7)&amp;"-"&amp;MONTH(E7),53:53)</f>
        <v>0</v>
      </c>
      <c r="G7" s="356"/>
      <c r="H7" s="355">
        <f>SUMIF(52:52,YEAR(G7)&amp;"-"&amp;MONTH(G7),53:53)</f>
        <v>0</v>
      </c>
      <c r="I7" s="356"/>
      <c r="J7" s="355">
        <f>SUMIF(52:52,YEAR(I7)&amp;"-"&amp;MONTH(I7),53:53)</f>
        <v>0</v>
      </c>
      <c r="K7" s="38"/>
      <c r="L7" s="862"/>
      <c r="M7" s="863"/>
      <c r="N7" s="863"/>
      <c r="O7" s="863"/>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3" t="s">
        <v>1683</v>
      </c>
      <c r="Q8" s="3444"/>
      <c r="R8" s="664" t="s">
        <v>14</v>
      </c>
      <c r="S8" s="665">
        <f t="shared" si="0"/>
        <v>100</v>
      </c>
      <c r="T8" s="664" t="s">
        <v>14</v>
      </c>
      <c r="U8" s="665">
        <f t="shared" si="1"/>
        <v>100</v>
      </c>
      <c r="V8" s="664" t="s">
        <v>14</v>
      </c>
      <c r="W8" s="665">
        <f t="shared" si="2"/>
        <v>100</v>
      </c>
      <c r="X8" s="666"/>
      <c r="Y8" s="3443" t="s">
        <v>1683</v>
      </c>
      <c r="Z8" s="344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7"/>
      <c r="Q16" s="1263"/>
      <c r="R16" s="667"/>
      <c r="S16" s="668"/>
      <c r="T16" s="667"/>
      <c r="U16" s="668"/>
      <c r="V16" s="667"/>
      <c r="W16" s="668"/>
      <c r="X16" s="1265"/>
      <c r="Y16" s="341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7"/>
      <c r="Q18" s="1263"/>
      <c r="R18" s="667"/>
      <c r="S18" s="668"/>
      <c r="T18" s="667"/>
      <c r="U18" s="668"/>
      <c r="V18" s="667"/>
      <c r="W18" s="668"/>
      <c r="X18" s="1265"/>
      <c r="Y18" s="341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3" t="str">
        <f>B19</f>
        <v>公共配套设施</v>
      </c>
      <c r="R19" s="667" t="s">
        <v>14</v>
      </c>
      <c r="S19" s="668">
        <f>F19</f>
        <v>100</v>
      </c>
      <c r="T19" s="667" t="s">
        <v>14</v>
      </c>
      <c r="U19" s="668">
        <f>H19</f>
        <v>100</v>
      </c>
      <c r="V19" s="667" t="s">
        <v>14</v>
      </c>
      <c r="W19" s="668">
        <f>J19</f>
        <v>100</v>
      </c>
      <c r="X19" s="1265"/>
      <c r="Y19" s="341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7"/>
      <c r="Q20" s="1263"/>
      <c r="R20" s="667"/>
      <c r="S20" s="668"/>
      <c r="T20" s="667"/>
      <c r="U20" s="668"/>
      <c r="V20" s="667"/>
      <c r="W20" s="668"/>
      <c r="X20" s="1265"/>
      <c r="Y20" s="341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3" t="str">
        <f>B21</f>
        <v>基础设施水平</v>
      </c>
      <c r="R21" s="667" t="s">
        <v>14</v>
      </c>
      <c r="S21" s="668">
        <f>F21</f>
        <v>100</v>
      </c>
      <c r="T21" s="667" t="s">
        <v>14</v>
      </c>
      <c r="U21" s="668">
        <f>H21</f>
        <v>100</v>
      </c>
      <c r="V21" s="667" t="s">
        <v>14</v>
      </c>
      <c r="W21" s="668">
        <f>J21</f>
        <v>100</v>
      </c>
      <c r="X21" s="1265"/>
      <c r="Y21" s="341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7"/>
      <c r="Q22" s="1263"/>
      <c r="R22" s="667"/>
      <c r="S22" s="668"/>
      <c r="T22" s="667"/>
      <c r="U22" s="668"/>
      <c r="V22" s="667"/>
      <c r="W22" s="668"/>
      <c r="X22" s="1265"/>
      <c r="Y22" s="341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3" t="str">
        <f>B23</f>
        <v>环境质量</v>
      </c>
      <c r="R23" s="667" t="s">
        <v>14</v>
      </c>
      <c r="S23" s="668">
        <f>F23</f>
        <v>100</v>
      </c>
      <c r="T23" s="667" t="s">
        <v>14</v>
      </c>
      <c r="U23" s="668">
        <f>H23</f>
        <v>100</v>
      </c>
      <c r="V23" s="667" t="s">
        <v>14</v>
      </c>
      <c r="W23" s="668">
        <f>J23</f>
        <v>100</v>
      </c>
      <c r="X23" s="1265"/>
      <c r="Y23" s="341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7"/>
      <c r="Q24" s="1263"/>
      <c r="R24" s="667"/>
      <c r="S24" s="668"/>
      <c r="T24" s="667"/>
      <c r="U24" s="668"/>
      <c r="V24" s="667"/>
      <c r="W24" s="668"/>
      <c r="X24" s="1265"/>
      <c r="Y24" s="341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3">
        <f>B25</f>
        <v>111</v>
      </c>
      <c r="R25" s="667" t="s">
        <v>14</v>
      </c>
      <c r="S25" s="668">
        <f>F25</f>
        <v>100</v>
      </c>
      <c r="T25" s="667" t="s">
        <v>14</v>
      </c>
      <c r="U25" s="668">
        <f>H25</f>
        <v>100</v>
      </c>
      <c r="V25" s="667" t="s">
        <v>14</v>
      </c>
      <c r="W25" s="668">
        <f>J25</f>
        <v>100</v>
      </c>
      <c r="X25" s="1265"/>
      <c r="Y25" s="341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3">
        <f t="shared" ref="Q26:Q40" si="11">B26</f>
        <v>111</v>
      </c>
      <c r="R26" s="667" t="s">
        <v>14</v>
      </c>
      <c r="S26" s="668">
        <f>F26</f>
        <v>100</v>
      </c>
      <c r="T26" s="667" t="s">
        <v>14</v>
      </c>
      <c r="U26" s="668">
        <f>H26</f>
        <v>100</v>
      </c>
      <c r="V26" s="667" t="s">
        <v>14</v>
      </c>
      <c r="W26" s="668">
        <f>J26</f>
        <v>100</v>
      </c>
      <c r="X26" s="1265"/>
      <c r="Y26" s="341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3">
        <f t="shared" si="11"/>
        <v>111</v>
      </c>
      <c r="R28" s="667" t="s">
        <v>14</v>
      </c>
      <c r="S28" s="668">
        <f t="shared" ref="S28:S40" si="12">F28</f>
        <v>100</v>
      </c>
      <c r="T28" s="667" t="s">
        <v>14</v>
      </c>
      <c r="U28" s="668">
        <f t="shared" ref="U28:U40" si="13">H28</f>
        <v>100</v>
      </c>
      <c r="V28" s="667" t="s">
        <v>14</v>
      </c>
      <c r="W28" s="668">
        <f t="shared" ref="W28:W40" si="14">J28</f>
        <v>100</v>
      </c>
      <c r="X28" s="1265"/>
      <c r="Y28" s="341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2"/>
      <c r="Q40" s="1263">
        <f t="shared" si="11"/>
        <v>111</v>
      </c>
      <c r="R40" s="667" t="s">
        <v>14</v>
      </c>
      <c r="S40" s="668">
        <f t="shared" si="12"/>
        <v>100</v>
      </c>
      <c r="T40" s="667" t="s">
        <v>14</v>
      </c>
      <c r="U40" s="668">
        <f t="shared" si="13"/>
        <v>100</v>
      </c>
      <c r="V40" s="667" t="s">
        <v>14</v>
      </c>
      <c r="W40" s="668">
        <f t="shared" si="14"/>
        <v>100</v>
      </c>
      <c r="X40" s="1265"/>
      <c r="Y40" s="348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20">
        <f>E41</f>
        <v>0</v>
      </c>
      <c r="S41" s="3420"/>
      <c r="T41" s="3420">
        <f>G41</f>
        <v>0</v>
      </c>
      <c r="U41" s="3420"/>
      <c r="V41" s="3420">
        <f>I41</f>
        <v>0</v>
      </c>
      <c r="W41" s="3420"/>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78" t="e">
        <f>IF(F1="售价",ROUND(IF(D42="简单平均",AVERAGE(R42:V42),R42*F42+T42*H42+V42*J42),0),ROUND(IF(D42="简单平均",AVERAGE(R42:V42),R42*F42+T42*H42+V42*J42),1))</f>
        <v>#DIV/0!</v>
      </c>
      <c r="S43" s="3478"/>
      <c r="T43" s="3478"/>
      <c r="U43" s="3478"/>
      <c r="V43" s="3478"/>
      <c r="W43" s="347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M15" sqref="M1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3391</v>
      </c>
      <c r="C1" s="1141" t="s">
        <v>1662</v>
      </c>
      <c r="D1" s="1142" t="s">
        <v>3412</v>
      </c>
      <c r="E1" s="3132" t="s">
        <v>5002</v>
      </c>
      <c r="F1" s="1735" t="s">
        <v>5003</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IF(B37="元/平方米",ROUND(C39*D3/10000,0),ROUND(F3*C39/10000,0)),IF(B37="元/平方米",ROUND(C39*D3/10000,0),ROUND(F3*C39/10000,0))-D2),IF(E1="单套模式",IF(C2="——",IF(B37="元/平方米",ROUND(C39*D3/10000,0),ROUND(F3*C39/10000,0)),IF(B37="元/平方米",ROUND(C39*D3/10000,0),ROUND(F3*C39/10000,0))-D2)))</f>
        <v>16474</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4155</v>
      </c>
      <c r="C3" s="344" t="s">
        <v>1768</v>
      </c>
      <c r="D3" s="343">
        <f>SUMIF('数据-汇总表'!$C19:$C33,D1,'数据-汇总表'!$E19:$E33)</f>
        <v>39646.74</v>
      </c>
      <c r="E3" s="344" t="s">
        <v>1832</v>
      </c>
      <c r="F3" s="343">
        <f>SUMIF('数据-取费表'!A5:A15,D1,'数据-取费表'!AH5:AH15)</f>
        <v>1567</v>
      </c>
      <c r="G3" s="855"/>
      <c r="H3" s="855"/>
      <c r="I3" s="855"/>
      <c r="J3" s="855"/>
      <c r="K3" s="857"/>
      <c r="L3" s="2504"/>
      <c r="M3" s="2505">
        <f>IF(C2="——",IF(B37="元/平方米",ROUND(C39*D3/10000,0),ROUND(F3*C39/10000,0)),IF(B37="元/平方米",ROUND(C39*D3/10000,0),ROUND(F3*C39/10000,0))-D2)</f>
        <v>16474</v>
      </c>
      <c r="N3" s="2505"/>
      <c r="O3" s="2505"/>
      <c r="P3" s="1086"/>
      <c r="Q3" s="341"/>
      <c r="R3" s="341"/>
      <c r="S3" s="341"/>
      <c r="T3" s="341"/>
      <c r="U3" s="341"/>
      <c r="V3" s="341"/>
      <c r="W3" s="341"/>
      <c r="X3" s="341"/>
      <c r="Y3" s="341"/>
      <c r="Z3" s="341"/>
      <c r="AA3" s="341"/>
      <c r="AB3" s="676"/>
      <c r="AC3" s="663"/>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27" t="s">
        <v>1775</v>
      </c>
      <c r="Q4" s="3428"/>
      <c r="R4" s="3433" t="s">
        <v>1771</v>
      </c>
      <c r="S4" s="3434"/>
      <c r="T4" s="3433" t="s">
        <v>1772</v>
      </c>
      <c r="U4" s="3434"/>
      <c r="V4" s="3420" t="s">
        <v>1773</v>
      </c>
      <c r="W4" s="3420"/>
      <c r="X4" s="1265"/>
      <c r="Y4" s="3433" t="s">
        <v>1775</v>
      </c>
      <c r="Z4" s="3434"/>
      <c r="AA4" s="3421" t="s">
        <v>1771</v>
      </c>
      <c r="AB4" s="3422" t="s">
        <v>1772</v>
      </c>
      <c r="AC4" s="3421" t="s">
        <v>1773</v>
      </c>
    </row>
    <row r="5" spans="1:29" ht="15.75" thickBot="1">
      <c r="A5" s="348"/>
      <c r="B5" s="349"/>
      <c r="C5" s="3441" t="s">
        <v>1673</v>
      </c>
      <c r="D5" s="3442"/>
      <c r="E5" s="3502" t="s">
        <v>5007</v>
      </c>
      <c r="F5" s="3449"/>
      <c r="G5" s="3501" t="s">
        <v>5008</v>
      </c>
      <c r="H5" s="3442"/>
      <c r="I5" s="3501" t="s">
        <v>5019</v>
      </c>
      <c r="J5" s="3442"/>
      <c r="K5" s="537"/>
      <c r="L5" s="2487"/>
      <c r="M5" s="2488"/>
      <c r="N5" s="2488"/>
      <c r="O5" s="2488"/>
      <c r="P5" s="3429"/>
      <c r="Q5" s="3430"/>
      <c r="R5" s="3435"/>
      <c r="S5" s="3436"/>
      <c r="T5" s="3435"/>
      <c r="U5" s="3436"/>
      <c r="V5" s="3420"/>
      <c r="W5" s="3420"/>
      <c r="X5" s="1265"/>
      <c r="Y5" s="3435"/>
      <c r="Z5" s="3436"/>
      <c r="AA5" s="3422"/>
      <c r="AB5" s="3422"/>
      <c r="AC5" s="3422"/>
    </row>
    <row r="6" spans="1:29" ht="15.75" hidden="1" thickBot="1">
      <c r="A6" s="350"/>
      <c r="B6" s="351"/>
      <c r="C6" s="3439"/>
      <c r="D6" s="3440"/>
      <c r="E6" s="3446"/>
      <c r="F6" s="3447"/>
      <c r="G6" s="3439"/>
      <c r="H6" s="3440"/>
      <c r="I6" s="3439"/>
      <c r="J6" s="3440"/>
      <c r="K6" s="537" t="s">
        <v>1678</v>
      </c>
      <c r="L6" s="2487"/>
      <c r="M6" s="2488"/>
      <c r="N6" s="2488"/>
      <c r="O6" s="2488"/>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f>C7</f>
        <v>45962</v>
      </c>
      <c r="F7" s="357">
        <f>SUMIF(48:48,YEAR(E7)&amp;"-"&amp;MONTH(E7),49:49)</f>
        <v>100</v>
      </c>
      <c r="G7" s="356">
        <f>E7</f>
        <v>45962</v>
      </c>
      <c r="H7" s="355">
        <f>SUMIF(48:48,YEAR(G7)&amp;"-"&amp;MONTH(G7),49:49)</f>
        <v>100</v>
      </c>
      <c r="I7" s="356">
        <f>G7</f>
        <v>45962</v>
      </c>
      <c r="J7" s="355">
        <f>SUMIF(48:48,YEAR(I7)&amp;"-"&amp;MONTH(I7),49:49)</f>
        <v>100</v>
      </c>
      <c r="K7" s="38"/>
      <c r="L7" s="2489"/>
      <c r="M7" s="2440"/>
      <c r="N7" s="2440"/>
      <c r="O7" s="2440"/>
      <c r="P7" s="3443" t="s">
        <v>1680</v>
      </c>
      <c r="Q7" s="3445"/>
      <c r="R7" s="664" t="s">
        <v>14</v>
      </c>
      <c r="S7" s="665">
        <f t="shared" ref="S7:S14" si="0">F7</f>
        <v>100</v>
      </c>
      <c r="T7" s="664" t="s">
        <v>14</v>
      </c>
      <c r="U7" s="665">
        <f t="shared" ref="U7:U14" si="1">H7</f>
        <v>100</v>
      </c>
      <c r="V7" s="664" t="s">
        <v>14</v>
      </c>
      <c r="W7" s="665">
        <f t="shared" ref="W7:W14" si="2">J7</f>
        <v>100</v>
      </c>
      <c r="X7" s="666"/>
      <c r="Y7" s="3443" t="s">
        <v>1680</v>
      </c>
      <c r="Z7" s="3444"/>
      <c r="AA7" s="50">
        <f>D7/F7</f>
        <v>1</v>
      </c>
      <c r="AB7" s="50">
        <f>D7/H7</f>
        <v>1</v>
      </c>
      <c r="AC7" s="50">
        <f>D7/J7</f>
        <v>1</v>
      </c>
    </row>
    <row r="8" spans="1:29" s="102" customFormat="1" ht="15.75" thickBot="1">
      <c r="A8" s="352" t="s">
        <v>1681</v>
      </c>
      <c r="B8" s="353"/>
      <c r="C8" s="358" t="s">
        <v>4989</v>
      </c>
      <c r="D8" s="355">
        <v>100</v>
      </c>
      <c r="E8" s="358" t="s">
        <v>4989</v>
      </c>
      <c r="F8" s="357">
        <f>SUMIF(51:51,E8,52:52)-SUMIF(51:51,C8,52:52)+100</f>
        <v>100</v>
      </c>
      <c r="G8" s="358" t="s">
        <v>4989</v>
      </c>
      <c r="H8" s="355">
        <f>SUMIF(51:51,G8,52:52)-SUMIF(51:51,C8,52:52)+100</f>
        <v>100</v>
      </c>
      <c r="I8" s="358" t="s">
        <v>4989</v>
      </c>
      <c r="J8" s="355">
        <f>SUMIF(51:51,I8,52:52)-SUMIF(51:51,C8,52:52)+100</f>
        <v>100</v>
      </c>
      <c r="K8" s="38"/>
      <c r="L8" s="2489"/>
      <c r="M8" s="2440"/>
      <c r="N8" s="2440"/>
      <c r="O8" s="2440"/>
      <c r="P8" s="3443" t="s">
        <v>1683</v>
      </c>
      <c r="Q8" s="3444"/>
      <c r="R8" s="664" t="s">
        <v>14</v>
      </c>
      <c r="S8" s="665">
        <f t="shared" si="0"/>
        <v>100</v>
      </c>
      <c r="T8" s="664" t="s">
        <v>14</v>
      </c>
      <c r="U8" s="665">
        <f t="shared" si="1"/>
        <v>100</v>
      </c>
      <c r="V8" s="664" t="s">
        <v>14</v>
      </c>
      <c r="W8" s="665">
        <f t="shared" si="2"/>
        <v>100</v>
      </c>
      <c r="X8" s="666"/>
      <c r="Y8" s="3443" t="s">
        <v>1683</v>
      </c>
      <c r="Z8" s="3444"/>
      <c r="AA8" s="50">
        <f t="shared" ref="AA8:AA36" si="3">D8/F8</f>
        <v>1</v>
      </c>
      <c r="AB8" s="50">
        <f t="shared" ref="AB8:AB36" si="4">D8/H8</f>
        <v>1</v>
      </c>
      <c r="AC8" s="50">
        <f t="shared" ref="AC8:AC36" si="5">D8/J8</f>
        <v>1</v>
      </c>
    </row>
    <row r="9" spans="1:29" s="102" customFormat="1">
      <c r="A9" s="57" t="s">
        <v>1684</v>
      </c>
      <c r="B9" s="564" t="s">
        <v>1685</v>
      </c>
      <c r="C9" s="3198" t="s">
        <v>5004</v>
      </c>
      <c r="D9" s="59">
        <v>100</v>
      </c>
      <c r="E9" s="362" t="s">
        <v>3412</v>
      </c>
      <c r="F9" s="59">
        <f>SUMIF(53:53,E9,54:54)-SUMIF(53:53,C9,54:54)+100</f>
        <v>100</v>
      </c>
      <c r="G9" s="361" t="s">
        <v>3412</v>
      </c>
      <c r="H9" s="59">
        <f>SUMIF(53:53,G9,54:54)-SUMIF(53:53,C9,54:54)+100</f>
        <v>100</v>
      </c>
      <c r="I9" s="361" t="s">
        <v>3412</v>
      </c>
      <c r="J9" s="59">
        <f>SUMIF(53:53,I9,54:54)-SUMIF(53:53,C9,54:54)+100</f>
        <v>100</v>
      </c>
      <c r="K9" s="38"/>
      <c r="L9" s="2489"/>
      <c r="M9" s="2440"/>
      <c r="N9" s="2440"/>
      <c r="O9" s="2440"/>
      <c r="P9" s="3415"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75" thickBot="1">
      <c r="A10" s="565"/>
      <c r="B10" s="566" t="s">
        <v>1688</v>
      </c>
      <c r="C10" s="3133" t="s">
        <v>5010</v>
      </c>
      <c r="D10" s="119">
        <v>100</v>
      </c>
      <c r="E10" s="3133" t="s">
        <v>5010</v>
      </c>
      <c r="F10" s="119">
        <f>SUMIF(55:55,E10,56:56)-SUMIF(55:55,C10,56:56)+100</f>
        <v>100</v>
      </c>
      <c r="G10" s="3133" t="s">
        <v>5010</v>
      </c>
      <c r="H10" s="119">
        <f>SUMIF(55:55,G10,56:56)-SUMIF(55:55,C10,56:56)+100</f>
        <v>100</v>
      </c>
      <c r="I10" s="3133" t="s">
        <v>5015</v>
      </c>
      <c r="J10" s="119">
        <f>SUMIF(55:55,I10,56:56)-SUMIF(55:55,C10,56:56)+100</f>
        <v>98</v>
      </c>
      <c r="K10" s="38"/>
      <c r="L10" s="2490"/>
      <c r="M10" s="2491"/>
      <c r="N10" s="2491"/>
      <c r="O10" s="2491"/>
      <c r="P10" s="3415"/>
      <c r="Q10" s="530" t="str">
        <f t="shared" si="6"/>
        <v>土地使用年限（年）</v>
      </c>
      <c r="R10" s="664" t="s">
        <v>14</v>
      </c>
      <c r="S10" s="665">
        <f t="shared" si="0"/>
        <v>100</v>
      </c>
      <c r="T10" s="664" t="s">
        <v>14</v>
      </c>
      <c r="U10" s="665">
        <f t="shared" si="1"/>
        <v>100</v>
      </c>
      <c r="V10" s="664" t="s">
        <v>14</v>
      </c>
      <c r="W10" s="665">
        <f t="shared" si="2"/>
        <v>98</v>
      </c>
      <c r="X10" s="666"/>
      <c r="Y10" s="3312"/>
      <c r="Z10" s="50" t="str">
        <f t="shared" si="7"/>
        <v>土地使用年限（年）</v>
      </c>
      <c r="AA10" s="50">
        <f t="shared" si="3"/>
        <v>1</v>
      </c>
      <c r="AB10" s="50">
        <f t="shared" si="4"/>
        <v>1</v>
      </c>
      <c r="AC10" s="50">
        <f t="shared" si="5"/>
        <v>1.0204081632653061</v>
      </c>
    </row>
    <row r="11" spans="1:29" ht="15.75" hidden="1" thickBot="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5"/>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75" hidden="1" thickBot="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5"/>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5"/>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105</v>
      </c>
      <c r="I14" s="381"/>
      <c r="J14" s="380">
        <f>SUMIF(63:63,I15,64:64)-SUMIF(63:63,C15,64:64)+100</f>
        <v>105</v>
      </c>
      <c r="K14" s="540">
        <v>5</v>
      </c>
      <c r="L14" s="2493"/>
      <c r="M14" s="2488"/>
      <c r="N14" s="2488"/>
      <c r="O14" s="2488"/>
      <c r="P14" s="3416" t="s">
        <v>1691</v>
      </c>
      <c r="Q14" s="1263" t="str">
        <f t="shared" si="6"/>
        <v>交通便捷度</v>
      </c>
      <c r="R14" s="667" t="s">
        <v>14</v>
      </c>
      <c r="S14" s="668">
        <f t="shared" si="0"/>
        <v>100</v>
      </c>
      <c r="T14" s="667" t="s">
        <v>14</v>
      </c>
      <c r="U14" s="668">
        <f t="shared" si="1"/>
        <v>105</v>
      </c>
      <c r="V14" s="667" t="s">
        <v>14</v>
      </c>
      <c r="W14" s="668">
        <f t="shared" si="2"/>
        <v>105</v>
      </c>
      <c r="X14" s="1265"/>
      <c r="Y14" s="3416" t="s">
        <v>1691</v>
      </c>
      <c r="Z14" s="1264" t="str">
        <f t="shared" si="7"/>
        <v>交通便捷度</v>
      </c>
      <c r="AA14" s="1264">
        <f t="shared" si="3"/>
        <v>1</v>
      </c>
      <c r="AB14" s="1264">
        <f t="shared" si="4"/>
        <v>0.95238095238095233</v>
      </c>
      <c r="AC14" s="1264">
        <f t="shared" si="5"/>
        <v>0.95238095238095233</v>
      </c>
    </row>
    <row r="15" spans="1:29" ht="15">
      <c r="A15" s="348"/>
      <c r="B15" s="571"/>
      <c r="C15" s="386" t="s">
        <v>4992</v>
      </c>
      <c r="D15" s="387"/>
      <c r="E15" s="386" t="s">
        <v>4992</v>
      </c>
      <c r="F15" s="388"/>
      <c r="G15" s="386" t="s">
        <v>4991</v>
      </c>
      <c r="H15" s="389"/>
      <c r="I15" s="386" t="s">
        <v>4991</v>
      </c>
      <c r="J15" s="387"/>
      <c r="K15" s="541"/>
      <c r="L15" s="2493"/>
      <c r="M15" s="2488"/>
      <c r="N15" s="2488"/>
      <c r="O15" s="2488"/>
      <c r="P15" s="3417"/>
      <c r="Q15" s="1263"/>
      <c r="R15" s="667"/>
      <c r="S15" s="668"/>
      <c r="T15" s="667"/>
      <c r="U15" s="668"/>
      <c r="V15" s="667"/>
      <c r="W15" s="668"/>
      <c r="X15" s="1265"/>
      <c r="Y15" s="341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6"/>
      <c r="H16" s="394">
        <f>SUMIF(65:65,G17,66:66)-SUMIF(65:65,C17,66:66)+100</f>
        <v>105</v>
      </c>
      <c r="I16" s="396"/>
      <c r="J16" s="394">
        <f>SUMIF(65:65,I17,66:66)-SUMIF(65:65,C17,66:66)+100</f>
        <v>105</v>
      </c>
      <c r="K16" s="540">
        <v>5</v>
      </c>
      <c r="L16" s="2493"/>
      <c r="M16" s="2488"/>
      <c r="N16" s="2488"/>
      <c r="O16" s="2488"/>
      <c r="P16" s="3417"/>
      <c r="Q16" s="1263" t="str">
        <f>B16</f>
        <v>公共配套设施</v>
      </c>
      <c r="R16" s="667" t="s">
        <v>14</v>
      </c>
      <c r="S16" s="668">
        <f>F16</f>
        <v>100</v>
      </c>
      <c r="T16" s="667" t="s">
        <v>14</v>
      </c>
      <c r="U16" s="668">
        <f>H16</f>
        <v>105</v>
      </c>
      <c r="V16" s="667" t="s">
        <v>14</v>
      </c>
      <c r="W16" s="668">
        <f>J16</f>
        <v>105</v>
      </c>
      <c r="X16" s="1265"/>
      <c r="Y16" s="3417"/>
      <c r="Z16" s="1264" t="str">
        <f>Q16</f>
        <v>公共配套设施</v>
      </c>
      <c r="AA16" s="1264">
        <f t="shared" si="3"/>
        <v>1</v>
      </c>
      <c r="AB16" s="1264">
        <f t="shared" si="4"/>
        <v>0.95238095238095233</v>
      </c>
      <c r="AC16" s="1264">
        <f t="shared" si="5"/>
        <v>0.95238095238095233</v>
      </c>
    </row>
    <row r="17" spans="1:29" ht="15">
      <c r="A17" s="348"/>
      <c r="B17" s="401"/>
      <c r="C17" s="1755" t="s">
        <v>4992</v>
      </c>
      <c r="D17" s="387"/>
      <c r="E17" s="386" t="s">
        <v>4992</v>
      </c>
      <c r="F17" s="388"/>
      <c r="G17" s="386" t="s">
        <v>4991</v>
      </c>
      <c r="H17" s="387"/>
      <c r="I17" s="386" t="s">
        <v>4991</v>
      </c>
      <c r="J17" s="387"/>
      <c r="K17" s="541"/>
      <c r="L17" s="2493"/>
      <c r="M17" s="2488"/>
      <c r="N17" s="2488"/>
      <c r="O17" s="2488"/>
      <c r="P17" s="3417"/>
      <c r="Q17" s="1263"/>
      <c r="R17" s="667"/>
      <c r="S17" s="668"/>
      <c r="T17" s="667"/>
      <c r="U17" s="668"/>
      <c r="V17" s="667"/>
      <c r="W17" s="668"/>
      <c r="X17" s="1265"/>
      <c r="Y17" s="341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93"/>
      <c r="M18" s="2488"/>
      <c r="N18" s="2488"/>
      <c r="O18" s="2488"/>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48"/>
      <c r="B19" s="557"/>
      <c r="C19" s="1755" t="s">
        <v>4993</v>
      </c>
      <c r="D19" s="389"/>
      <c r="E19" s="1755" t="s">
        <v>4993</v>
      </c>
      <c r="F19" s="392"/>
      <c r="G19" s="1755" t="s">
        <v>4993</v>
      </c>
      <c r="H19" s="387"/>
      <c r="I19" s="1755" t="s">
        <v>4993</v>
      </c>
      <c r="J19" s="387"/>
      <c r="K19" s="1064"/>
      <c r="L19" s="2493"/>
      <c r="M19" s="2488"/>
      <c r="N19" s="2488"/>
      <c r="O19" s="2488"/>
      <c r="P19" s="3417"/>
      <c r="Q19" s="1263"/>
      <c r="R19" s="667"/>
      <c r="S19" s="668"/>
      <c r="T19" s="667"/>
      <c r="U19" s="668"/>
      <c r="V19" s="667"/>
      <c r="W19" s="668"/>
      <c r="X19" s="1265"/>
      <c r="Y19" s="341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105</v>
      </c>
      <c r="G20" s="396"/>
      <c r="H20" s="389">
        <f>SUMIF(69:69,G21,70:70)-SUMIF(69:69,C21,70:70)+100</f>
        <v>100</v>
      </c>
      <c r="I20" s="396"/>
      <c r="J20" s="389">
        <f>SUMIF(69:69,I21,70:70)-SUMIF(69:69,C21,70:70)+100</f>
        <v>100</v>
      </c>
      <c r="K20" s="540">
        <v>5</v>
      </c>
      <c r="L20" s="2493"/>
      <c r="M20" s="2488"/>
      <c r="N20" s="2488"/>
      <c r="O20" s="2488"/>
      <c r="P20" s="3417"/>
      <c r="Q20" s="1263" t="str">
        <f>B20</f>
        <v>自然及人文环境</v>
      </c>
      <c r="R20" s="667" t="s">
        <v>14</v>
      </c>
      <c r="S20" s="668">
        <f>F20</f>
        <v>105</v>
      </c>
      <c r="T20" s="667" t="s">
        <v>14</v>
      </c>
      <c r="U20" s="668">
        <f>H20</f>
        <v>100</v>
      </c>
      <c r="V20" s="667" t="s">
        <v>14</v>
      </c>
      <c r="W20" s="668">
        <f>J20</f>
        <v>100</v>
      </c>
      <c r="X20" s="1265"/>
      <c r="Y20" s="3417"/>
      <c r="Z20" s="1264" t="str">
        <f>Q20</f>
        <v>自然及人文环境</v>
      </c>
      <c r="AA20" s="1264">
        <f t="shared" si="3"/>
        <v>0.95238095238095233</v>
      </c>
      <c r="AB20" s="1264">
        <f t="shared" si="4"/>
        <v>1</v>
      </c>
      <c r="AC20" s="1264">
        <f t="shared" si="5"/>
        <v>1</v>
      </c>
    </row>
    <row r="21" spans="1:29" ht="15.75" thickBot="1">
      <c r="A21" s="348"/>
      <c r="B21" s="401"/>
      <c r="C21" s="386" t="s">
        <v>4992</v>
      </c>
      <c r="D21" s="387"/>
      <c r="E21" s="386" t="s">
        <v>4991</v>
      </c>
      <c r="F21" s="388"/>
      <c r="G21" s="386" t="s">
        <v>4992</v>
      </c>
      <c r="H21" s="387"/>
      <c r="I21" s="386" t="s">
        <v>4992</v>
      </c>
      <c r="J21" s="387"/>
      <c r="K21" s="541"/>
      <c r="L21" s="2493"/>
      <c r="M21" s="2488"/>
      <c r="N21" s="2488"/>
      <c r="O21" s="2488"/>
      <c r="P21" s="3417"/>
      <c r="Q21" s="1263"/>
      <c r="R21" s="667"/>
      <c r="S21" s="668"/>
      <c r="T21" s="667"/>
      <c r="U21" s="668"/>
      <c r="V21" s="667"/>
      <c r="W21" s="668"/>
      <c r="X21" s="1265"/>
      <c r="Y21" s="3417"/>
      <c r="Z21" s="1264"/>
      <c r="AA21" s="1264">
        <v>1</v>
      </c>
      <c r="AB21" s="1264">
        <v>1</v>
      </c>
      <c r="AC21" s="1264">
        <v>1</v>
      </c>
    </row>
    <row r="22" spans="1:29" ht="15" hidden="1">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7"/>
      <c r="Q24" s="1263">
        <f t="shared" ref="Q24:Q36"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28.5">
      <c r="A26" s="574" t="s">
        <v>1694</v>
      </c>
      <c r="B26" s="59" t="s">
        <v>1836</v>
      </c>
      <c r="C26" s="1820" t="str">
        <f>B1</f>
        <v>住宅</v>
      </c>
      <c r="D26" s="387">
        <v>100</v>
      </c>
      <c r="E26" s="386" t="s">
        <v>3391</v>
      </c>
      <c r="F26" s="388">
        <f>SUMIF(79:79,E26,80:80)-SUMIF(79:79,C26,80:80)+100</f>
        <v>100</v>
      </c>
      <c r="G26" s="386" t="s">
        <v>3391</v>
      </c>
      <c r="H26" s="387">
        <f>SUMIF(79:79,G26,80:80)-SUMIF(79:79,C26,80:80)+100</f>
        <v>100</v>
      </c>
      <c r="I26" s="386" t="s">
        <v>3391</v>
      </c>
      <c r="J26" s="387">
        <f>SUMIF(79:79,I26,80:80)-SUMIF(79:79,C26,80:80)+100</f>
        <v>100</v>
      </c>
      <c r="K26" s="538">
        <v>5</v>
      </c>
      <c r="L26" s="2493"/>
      <c r="M26" s="2488"/>
      <c r="N26" s="2488"/>
      <c r="O26" s="2488"/>
      <c r="P26" s="341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19" t="s">
        <v>1696</v>
      </c>
      <c r="Z26" s="1264" t="str">
        <f t="shared" ref="Z26:Z36" si="15">Q26</f>
        <v>配套类型</v>
      </c>
      <c r="AA26" s="1264">
        <f t="shared" si="3"/>
        <v>1</v>
      </c>
      <c r="AB26" s="1264">
        <f t="shared" si="4"/>
        <v>1</v>
      </c>
      <c r="AC26" s="1264">
        <f t="shared" si="5"/>
        <v>1</v>
      </c>
    </row>
    <row r="27" spans="1:29" s="408" customFormat="1" ht="15" hidden="1">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200" t="s">
        <v>5006</v>
      </c>
      <c r="D28" s="374">
        <v>100</v>
      </c>
      <c r="E28" s="3200" t="s">
        <v>5006</v>
      </c>
      <c r="F28" s="400">
        <f>SUMIF(83:83,E28,84:84)-SUMIF(83:83,C28,84:84)+100</f>
        <v>100</v>
      </c>
      <c r="G28" s="3200" t="s">
        <v>5006</v>
      </c>
      <c r="H28" s="374">
        <f>SUMIF(83:83,G28,84:84)-SUMIF(83:83,C28,84:84)+100</f>
        <v>100</v>
      </c>
      <c r="I28" s="3200" t="s">
        <v>5006</v>
      </c>
      <c r="J28" s="374">
        <f>SUMIF(83:83,I28,84:84)-SUMIF(83:83,C28,84:84)+100</f>
        <v>100</v>
      </c>
      <c r="K28" s="538">
        <v>2</v>
      </c>
      <c r="L28" s="2493"/>
      <c r="M28" s="2488"/>
      <c r="N28" s="2488"/>
      <c r="O28" s="2488"/>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v>1</v>
      </c>
      <c r="D29" s="374">
        <v>100</v>
      </c>
      <c r="E29" s="411">
        <f>ROUND(1-(2025-E40)/60,2)</f>
        <v>0.98</v>
      </c>
      <c r="F29" s="400">
        <f>LOOKUP(E29,86:86,87:87)-LOOKUP(C29,86:86,87:87)+100</f>
        <v>100</v>
      </c>
      <c r="G29" s="411">
        <f>ROUND(1-(2025-G40)/60,2)</f>
        <v>0.92</v>
      </c>
      <c r="H29" s="400">
        <f>LOOKUP(G29,86:86,87:87)-LOOKUP(C29,86:86,87:87)+100</f>
        <v>100</v>
      </c>
      <c r="I29" s="411">
        <f>ROUND(1-(2025-I40)/60,2)</f>
        <v>0.82</v>
      </c>
      <c r="J29" s="374">
        <f>LOOKUP(I29,86:86,87:87)-LOOKUP(C29,86:86,87:87)+100</f>
        <v>98</v>
      </c>
      <c r="K29" s="538">
        <v>2</v>
      </c>
      <c r="L29" s="2493"/>
      <c r="M29" s="2488"/>
      <c r="N29" s="2488"/>
      <c r="O29" s="2488"/>
      <c r="P29" s="3419"/>
      <c r="Q29" s="1263" t="str">
        <f t="shared" si="11"/>
        <v>成新率</v>
      </c>
      <c r="R29" s="667" t="s">
        <v>14</v>
      </c>
      <c r="S29" s="668">
        <f t="shared" si="12"/>
        <v>100</v>
      </c>
      <c r="T29" s="667" t="s">
        <v>14</v>
      </c>
      <c r="U29" s="668">
        <f t="shared" si="13"/>
        <v>100</v>
      </c>
      <c r="V29" s="667" t="s">
        <v>14</v>
      </c>
      <c r="W29" s="668">
        <f t="shared" si="14"/>
        <v>98</v>
      </c>
      <c r="X29" s="1265"/>
      <c r="Y29" s="3419"/>
      <c r="Z29" s="1264" t="str">
        <f t="shared" si="15"/>
        <v>成新率</v>
      </c>
      <c r="AA29" s="1264">
        <f t="shared" si="3"/>
        <v>1</v>
      </c>
      <c r="AB29" s="1264">
        <f t="shared" si="4"/>
        <v>1</v>
      </c>
      <c r="AC29" s="1264">
        <f t="shared" si="5"/>
        <v>1.0204081632653061</v>
      </c>
    </row>
    <row r="30" spans="1:29" ht="15">
      <c r="A30" s="577"/>
      <c r="B30" s="119" t="s">
        <v>1840</v>
      </c>
      <c r="C30" s="3199" t="s">
        <v>5005</v>
      </c>
      <c r="D30" s="374">
        <v>100</v>
      </c>
      <c r="E30" s="3199" t="s">
        <v>5005</v>
      </c>
      <c r="F30" s="400">
        <f>SUMIF(88:88,E30,89:89)-SUMIF(88:88,C30,89:89)+100</f>
        <v>100</v>
      </c>
      <c r="G30" s="3199" t="s">
        <v>5005</v>
      </c>
      <c r="H30" s="374">
        <f>SUMIF(88:88,E30,89:89)-SUMIF(88:88,C30,89:89)+100</f>
        <v>100</v>
      </c>
      <c r="I30" s="3199" t="s">
        <v>5005</v>
      </c>
      <c r="J30" s="374">
        <f>SUMIF(88:88,E30,89:89)-SUMIF(88:88,C30,89:89)+100</f>
        <v>100</v>
      </c>
      <c r="K30" s="538">
        <v>2</v>
      </c>
      <c r="L30" s="2493"/>
      <c r="M30" s="2488"/>
      <c r="N30" s="2488"/>
      <c r="O30" s="2488"/>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f>ROUND(抵押物清单!O1570/抵押物清单!L1569,2)</f>
        <v>25.3</v>
      </c>
      <c r="D31" s="119">
        <v>100</v>
      </c>
      <c r="E31" s="407">
        <f>车位案例!S14</f>
        <v>25.85</v>
      </c>
      <c r="F31" s="400">
        <f>LOOKUP(E31,91:91,92:92)-LOOKUP(C31,91:91,92:92)+100</f>
        <v>100</v>
      </c>
      <c r="G31" s="407">
        <f>车位案例!S56</f>
        <v>40.07</v>
      </c>
      <c r="H31" s="374">
        <f>LOOKUP(G31,91:91,92:92)-LOOKUP(C31,91:91,92:92)+100</f>
        <v>101</v>
      </c>
      <c r="I31" s="407">
        <f>车位案例!U14</f>
        <v>27.17</v>
      </c>
      <c r="J31" s="374">
        <f>LOOKUP(I31,91:91,92:92)-LOOKUP(C31,91:91,92:92)+100</f>
        <v>100</v>
      </c>
      <c r="K31" s="538">
        <v>2</v>
      </c>
      <c r="L31" s="2489"/>
      <c r="M31" s="2440"/>
      <c r="N31" s="2440"/>
      <c r="O31" s="2440"/>
      <c r="P31" s="3419"/>
      <c r="Q31" s="530" t="str">
        <f t="shared" si="11"/>
        <v>停车位面积</v>
      </c>
      <c r="R31" s="664" t="s">
        <v>14</v>
      </c>
      <c r="S31" s="665">
        <f t="shared" si="12"/>
        <v>100</v>
      </c>
      <c r="T31" s="664" t="s">
        <v>14</v>
      </c>
      <c r="U31" s="665">
        <f t="shared" si="13"/>
        <v>101</v>
      </c>
      <c r="V31" s="664" t="s">
        <v>14</v>
      </c>
      <c r="W31" s="665">
        <f t="shared" si="14"/>
        <v>100</v>
      </c>
      <c r="X31" s="666"/>
      <c r="Y31" s="3419"/>
      <c r="Z31" s="50" t="str">
        <f t="shared" si="15"/>
        <v>停车位面积</v>
      </c>
      <c r="AA31" s="50">
        <f t="shared" si="3"/>
        <v>1</v>
      </c>
      <c r="AB31" s="50">
        <f t="shared" si="4"/>
        <v>0.99009900990099009</v>
      </c>
      <c r="AC31" s="50">
        <f t="shared" si="5"/>
        <v>1</v>
      </c>
    </row>
    <row r="32" spans="1:29" ht="15" hidden="1">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hidden="1">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75" thickBot="1">
      <c r="A34" s="577"/>
      <c r="B34" s="3201" t="s">
        <v>5011</v>
      </c>
      <c r="C34" s="3202" t="s">
        <v>5012</v>
      </c>
      <c r="D34" s="374">
        <v>100</v>
      </c>
      <c r="E34" s="3202" t="s">
        <v>5013</v>
      </c>
      <c r="F34" s="400">
        <f>SUMIF(97:97,E34,98:98)-SUMIF(97:97,C34,98:98)+100</f>
        <v>105</v>
      </c>
      <c r="G34" s="3202" t="s">
        <v>5013</v>
      </c>
      <c r="H34" s="374">
        <f>SUMIF(97:97,G34,98:98)-SUMIF(97:97,C34,98:98)+100</f>
        <v>105</v>
      </c>
      <c r="I34" s="3202" t="s">
        <v>5013</v>
      </c>
      <c r="J34" s="374">
        <f>SUMIF(97:97,I34,98:98)-SUMIF(97:97,C34,98:98)+100</f>
        <v>105</v>
      </c>
      <c r="K34" s="539"/>
      <c r="L34" s="2493"/>
      <c r="M34" s="2488"/>
      <c r="N34" s="2488"/>
      <c r="O34" s="2488"/>
      <c r="P34" s="3419"/>
      <c r="Q34" s="1263" t="str">
        <f t="shared" si="11"/>
        <v>项目品质</v>
      </c>
      <c r="R34" s="667" t="s">
        <v>14</v>
      </c>
      <c r="S34" s="668">
        <f t="shared" si="12"/>
        <v>105</v>
      </c>
      <c r="T34" s="667" t="s">
        <v>14</v>
      </c>
      <c r="U34" s="668">
        <f t="shared" si="13"/>
        <v>105</v>
      </c>
      <c r="V34" s="667" t="s">
        <v>14</v>
      </c>
      <c r="W34" s="668">
        <f t="shared" si="14"/>
        <v>105</v>
      </c>
      <c r="X34" s="1265"/>
      <c r="Y34" s="3419"/>
      <c r="Z34" s="1264" t="str">
        <f t="shared" si="15"/>
        <v>项目品质</v>
      </c>
      <c r="AA34" s="1264">
        <f t="shared" si="3"/>
        <v>0.95238095238095233</v>
      </c>
      <c r="AB34" s="1264">
        <f t="shared" si="4"/>
        <v>0.95238095238095233</v>
      </c>
      <c r="AC34" s="1264">
        <f t="shared" si="5"/>
        <v>0.95238095238095233</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1" t="s">
        <v>5016</v>
      </c>
      <c r="C37" s="1081" t="s">
        <v>0</v>
      </c>
      <c r="D37" s="418"/>
      <c r="E37" s="419">
        <f>车位案例!S13</f>
        <v>123395</v>
      </c>
      <c r="F37" s="420"/>
      <c r="G37" s="421">
        <f>车位案例!S55</f>
        <v>116792</v>
      </c>
      <c r="H37" s="422"/>
      <c r="I37" s="419">
        <f>车位案例!U13</f>
        <v>115150</v>
      </c>
      <c r="J37" s="422"/>
      <c r="K37" s="545"/>
      <c r="L37" s="2495"/>
      <c r="M37" s="2488"/>
      <c r="N37" s="2488"/>
      <c r="O37" s="2488"/>
      <c r="P37" s="3415" t="str">
        <f>A37</f>
        <v>成交单价</v>
      </c>
      <c r="Q37" s="3415"/>
      <c r="R37" s="3420">
        <f>E37</f>
        <v>123395</v>
      </c>
      <c r="S37" s="3420"/>
      <c r="T37" s="3420">
        <f>G37</f>
        <v>116792</v>
      </c>
      <c r="U37" s="3420"/>
      <c r="V37" s="3420">
        <f>I37</f>
        <v>115150</v>
      </c>
      <c r="W37" s="3420"/>
      <c r="X37" s="385"/>
      <c r="Y37" s="673"/>
      <c r="Z37" s="385"/>
      <c r="AA37" s="385"/>
      <c r="AB37" s="385"/>
      <c r="AC37" s="385"/>
    </row>
    <row r="38" spans="1:29" ht="15.75" thickBot="1">
      <c r="A38" s="423" t="s">
        <v>1845</v>
      </c>
      <c r="B38" s="424" t="str">
        <f>B37</f>
        <v>元/车位</v>
      </c>
      <c r="C38" s="1082">
        <f>R39</f>
        <v>105128</v>
      </c>
      <c r="D38" s="2141" t="s">
        <v>2137</v>
      </c>
      <c r="E38" s="1083">
        <f>R38</f>
        <v>111923</v>
      </c>
      <c r="F38" s="2142"/>
      <c r="G38" s="1082">
        <f>T38</f>
        <v>99890</v>
      </c>
      <c r="H38" s="2142"/>
      <c r="I38" s="1083">
        <f>V38</f>
        <v>103572</v>
      </c>
      <c r="J38" s="2142"/>
      <c r="K38" s="2144">
        <f>F38+H38+J38</f>
        <v>0</v>
      </c>
      <c r="L38" s="2495"/>
      <c r="M38" s="2488"/>
      <c r="N38" s="2488"/>
      <c r="O38" s="2488"/>
      <c r="P38" s="3415" t="str">
        <f>A38</f>
        <v>比较价值（元/平方米）</v>
      </c>
      <c r="Q38" s="3415"/>
      <c r="R38" s="3420">
        <f>IF(F1="售价",ROUND(PRODUCT(R37,AA7:AA36),0),ROUND(PRODUCT(R37,AA7:AA36),1))</f>
        <v>111923</v>
      </c>
      <c r="S38" s="3420"/>
      <c r="T38" s="3420">
        <f>IF(F1="售价",ROUND(PRODUCT(T37,AB7:AB36),0),ROUND(PRODUCT(T37,AB7:AB36),1))</f>
        <v>99890</v>
      </c>
      <c r="U38" s="3420"/>
      <c r="V38" s="3420">
        <f>IF(F1="售价",ROUND(PRODUCT(V37,AC7:AC36),0),ROUND(PRODUCT(V37,AC7:AC36),1))</f>
        <v>103572</v>
      </c>
      <c r="W38" s="3420"/>
      <c r="X38" s="385"/>
      <c r="Y38" s="385"/>
      <c r="Z38" s="385"/>
      <c r="AA38" s="385"/>
      <c r="AB38" s="385"/>
      <c r="AC38" s="385"/>
    </row>
    <row r="39" spans="1:29" ht="15.75" thickBot="1">
      <c r="A39" s="427" t="s">
        <v>1846</v>
      </c>
      <c r="B39" s="428"/>
      <c r="C39" s="351">
        <f>R39</f>
        <v>105128</v>
      </c>
      <c r="D39" s="351"/>
      <c r="E39" s="351"/>
      <c r="F39" s="351"/>
      <c r="G39" s="351"/>
      <c r="H39" s="351"/>
      <c r="I39" s="351"/>
      <c r="J39" s="351"/>
      <c r="K39" s="546"/>
      <c r="L39" s="2495"/>
      <c r="M39" s="2488"/>
      <c r="N39" s="2488"/>
      <c r="O39" s="2488"/>
      <c r="P39" s="3409" t="str">
        <f>A39</f>
        <v>估价对象XX用房的比较价值（楼面单价，元/平方米）</v>
      </c>
      <c r="Q39" s="3410"/>
      <c r="R39" s="3500">
        <f>IF(F1="售价",ROUND(IF(D38="简单平均",AVERAGE(R38:W38),R38*F38+T38*H38+V38*J38),0),ROUND(IF(D38="简单平均",AVERAGE(R38:V38),R38*F38+T38*H38+V38*J38),1))</f>
        <v>105128</v>
      </c>
      <c r="S39" s="3500"/>
      <c r="T39" s="3500"/>
      <c r="U39" s="3500"/>
      <c r="V39" s="3500"/>
      <c r="W39" s="3500"/>
      <c r="X39" s="385"/>
      <c r="Y39" s="385"/>
      <c r="Z39" s="385"/>
      <c r="AA39" s="385"/>
      <c r="AB39" s="385"/>
      <c r="AC39" s="385"/>
    </row>
    <row r="40" spans="1:29">
      <c r="A40" s="2488"/>
      <c r="B40" s="2488"/>
      <c r="C40" s="2488"/>
      <c r="D40" s="2488"/>
      <c r="E40" s="2488">
        <v>2024</v>
      </c>
      <c r="F40" s="2488"/>
      <c r="G40" s="2488">
        <v>2020</v>
      </c>
      <c r="H40" s="2488"/>
      <c r="I40" s="2488">
        <v>2014</v>
      </c>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f>IF(E37&lt;E38,E38/E37-1,E37/E38-1)</f>
        <v>0.10249903951824013</v>
      </c>
      <c r="F42" s="435" t="str">
        <f>IF(OR(E42&gt;=0.3,E42&lt;=-0.3),"超过30%","")</f>
        <v/>
      </c>
      <c r="G42" s="434">
        <f>IF(G37&lt;G38,G38/G37-1,G37/G38-1)</f>
        <v>0.16920612673941338</v>
      </c>
      <c r="H42" s="435" t="str">
        <f>IF(OR(G42&gt;=0.3,G42&lt;=-0.3),"超过30%","")</f>
        <v/>
      </c>
      <c r="I42" s="434">
        <f>IF(I37&lt;I38,I38/I37-1,I37/I38-1)</f>
        <v>0.11178696945120303</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0.1204625087596356</v>
      </c>
      <c r="F43" s="435" t="str">
        <f>IF(OR(E43&gt;=0.2,E43&lt;=-0.2),"超过20%","")</f>
        <v/>
      </c>
      <c r="G43" s="434">
        <f>IF(G38&lt;I38,I38/G38-1,G38/I38-1)</f>
        <v>3.6860546601261479E-2</v>
      </c>
      <c r="H43" s="435" t="str">
        <f>IF(OR(G43&gt;=0.2,G43&lt;=-0.2),"超过20%","")</f>
        <v/>
      </c>
      <c r="I43" s="434">
        <f>IF(I38&lt;E38,E38/I38-1,I38/E38-1)</f>
        <v>8.0629899972965768E-2</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5.6536406603191924E-2</v>
      </c>
      <c r="F44" s="435" t="str">
        <f>IF(OR(E44&gt;=0.3,E44&lt;=-0.3),"超过30%","")</f>
        <v/>
      </c>
      <c r="G44" s="434">
        <f>IF(G37&lt;I37,I37/G37-1,G37/I37-1)</f>
        <v>1.4259661311333049E-2</v>
      </c>
      <c r="H44" s="435" t="str">
        <f>IF(OR(G44&gt;=0.3,G44&lt;=-0.3),"超过30%","")</f>
        <v/>
      </c>
      <c r="I44" s="434">
        <f>IF(I37&lt;E37,E37/I37-1,I37/E37-1)</f>
        <v>7.1602257924446411E-2</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t="str">
        <f>C9</f>
        <v>地下车库</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t="s">
        <v>5009</v>
      </c>
      <c r="D55" s="513" t="s">
        <v>5015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98</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95</v>
      </c>
      <c r="E64" s="475">
        <f>D64-$K14</f>
        <v>90</v>
      </c>
      <c r="F64" s="475">
        <f>E64-$K14</f>
        <v>85</v>
      </c>
      <c r="G64" s="475">
        <f>F64-$K14</f>
        <v>80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95</v>
      </c>
      <c r="E66" s="475">
        <f>D66-$K16</f>
        <v>90</v>
      </c>
      <c r="F66" s="475">
        <f>E66-$K16</f>
        <v>85</v>
      </c>
      <c r="G66" s="475">
        <f>F66-$K16</f>
        <v>80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98</v>
      </c>
      <c r="E68" s="475">
        <f>D68-$K18</f>
        <v>96</v>
      </c>
      <c r="F68" s="475">
        <f>E68-$K18</f>
        <v>94</v>
      </c>
      <c r="G68" s="475">
        <f>F68-$K18</f>
        <v>92</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95</v>
      </c>
      <c r="E70" s="475">
        <f>D70-$K20</f>
        <v>90</v>
      </c>
      <c r="F70" s="475">
        <f>E70-$K20</f>
        <v>85</v>
      </c>
      <c r="G70" s="475">
        <f>F70-$K20</f>
        <v>80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住宅</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0(含)-25</v>
      </c>
      <c r="D90" s="509" t="str">
        <f t="shared" ref="D90:L90" si="21">D91&amp;"(含)"&amp;"-"&amp;E91</f>
        <v>25(含)-35</v>
      </c>
      <c r="E90" s="509" t="str">
        <f t="shared" si="21"/>
        <v>35(含)-45</v>
      </c>
      <c r="F90" s="509" t="str">
        <f t="shared" si="21"/>
        <v>45(含)-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25</v>
      </c>
      <c r="E91" s="6">
        <v>35</v>
      </c>
      <c r="F91" s="6">
        <v>45</v>
      </c>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v>103</v>
      </c>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t="str">
        <f>B34</f>
        <v>项目品质</v>
      </c>
      <c r="C97" s="3203" t="s">
        <v>5012</v>
      </c>
      <c r="D97" s="3203" t="s">
        <v>5013</v>
      </c>
      <c r="E97" s="3203" t="s">
        <v>5014</v>
      </c>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v>100</v>
      </c>
      <c r="D98" s="467">
        <v>105</v>
      </c>
      <c r="E98" s="467">
        <v>110</v>
      </c>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F8B0-86B6-4CE9-852D-D1C203C22903}">
  <dimension ref="S13:U56"/>
  <sheetViews>
    <sheetView zoomScale="85" zoomScaleNormal="85" workbookViewId="0">
      <selection activeCell="T45" sqref="T45"/>
    </sheetView>
  </sheetViews>
  <sheetFormatPr defaultRowHeight="13.5"/>
  <sheetData>
    <row r="13" spans="19:21">
      <c r="S13">
        <f>ROUND(246.79*10000/20,0)</f>
        <v>123395</v>
      </c>
      <c r="U13">
        <f>ROUND(69.09*10000/6,0)</f>
        <v>115150</v>
      </c>
    </row>
    <row r="14" spans="19:21">
      <c r="S14">
        <f>ROUND(517/20,2)</f>
        <v>25.85</v>
      </c>
      <c r="U14">
        <f>ROUND(163/6,2)</f>
        <v>27.17</v>
      </c>
    </row>
    <row r="55" spans="19:19">
      <c r="S55">
        <f>ROUND(840.9*10000/72,0)</f>
        <v>116792</v>
      </c>
    </row>
    <row r="56" spans="19:19">
      <c r="S56">
        <f>ROUND(2885/72,2)</f>
        <v>40.07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27" t="s">
        <v>1775</v>
      </c>
      <c r="Q4" s="3428"/>
      <c r="R4" s="3433" t="s">
        <v>1771</v>
      </c>
      <c r="S4" s="3434"/>
      <c r="T4" s="3433" t="s">
        <v>1772</v>
      </c>
      <c r="U4" s="3434"/>
      <c r="V4" s="3420" t="s">
        <v>1773</v>
      </c>
      <c r="W4" s="3420"/>
      <c r="X4" s="1265"/>
      <c r="Y4" s="3433" t="s">
        <v>1775</v>
      </c>
      <c r="Z4" s="3434"/>
      <c r="AA4" s="3421" t="s">
        <v>1771</v>
      </c>
      <c r="AB4" s="3422" t="s">
        <v>1772</v>
      </c>
      <c r="AC4" s="3421" t="s">
        <v>1773</v>
      </c>
    </row>
    <row r="5" spans="1:29" ht="15">
      <c r="A5" s="348"/>
      <c r="B5" s="349"/>
      <c r="C5" s="3441" t="s">
        <v>1673</v>
      </c>
      <c r="D5" s="3442"/>
      <c r="E5" s="3448" t="s">
        <v>1674</v>
      </c>
      <c r="F5" s="3449"/>
      <c r="G5" s="3441" t="s">
        <v>1675</v>
      </c>
      <c r="H5" s="3442"/>
      <c r="I5" s="3441" t="s">
        <v>1676</v>
      </c>
      <c r="J5" s="3442"/>
      <c r="K5" s="537"/>
      <c r="L5" s="2487"/>
      <c r="M5" s="2488"/>
      <c r="N5" s="2488"/>
      <c r="O5" s="2488"/>
      <c r="P5" s="3429"/>
      <c r="Q5" s="3430"/>
      <c r="R5" s="3435"/>
      <c r="S5" s="3436"/>
      <c r="T5" s="3435"/>
      <c r="U5" s="3436"/>
      <c r="V5" s="3420"/>
      <c r="W5" s="3420"/>
      <c r="X5" s="1265"/>
      <c r="Y5" s="3435"/>
      <c r="Z5" s="3436"/>
      <c r="AA5" s="3422"/>
      <c r="AB5" s="3422"/>
      <c r="AC5" s="3422"/>
    </row>
    <row r="6" spans="1:29" ht="15.75" thickBot="1">
      <c r="A6" s="350"/>
      <c r="B6" s="351"/>
      <c r="C6" s="3439" t="s">
        <v>1677</v>
      </c>
      <c r="D6" s="3440"/>
      <c r="E6" s="3446" t="s">
        <v>1677</v>
      </c>
      <c r="F6" s="3447"/>
      <c r="G6" s="3439" t="s">
        <v>1677</v>
      </c>
      <c r="H6" s="3440"/>
      <c r="I6" s="3439" t="s">
        <v>1677</v>
      </c>
      <c r="J6" s="3440"/>
      <c r="K6" s="537" t="s">
        <v>1678</v>
      </c>
      <c r="L6" s="2487"/>
      <c r="M6" s="2488"/>
      <c r="N6" s="2488"/>
      <c r="O6" s="2488"/>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3" t="s">
        <v>1680</v>
      </c>
      <c r="Q7" s="3445"/>
      <c r="R7" s="664" t="s">
        <v>14</v>
      </c>
      <c r="S7" s="665">
        <f t="shared" ref="S7:S14" si="0">F7</f>
        <v>0</v>
      </c>
      <c r="T7" s="664" t="s">
        <v>14</v>
      </c>
      <c r="U7" s="665">
        <f t="shared" ref="U7:U14" si="1">H7</f>
        <v>0</v>
      </c>
      <c r="V7" s="664" t="s">
        <v>14</v>
      </c>
      <c r="W7" s="665">
        <f t="shared" ref="W7:W14" si="2">J7</f>
        <v>0</v>
      </c>
      <c r="X7" s="666"/>
      <c r="Y7" s="3443" t="s">
        <v>1680</v>
      </c>
      <c r="Z7" s="344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3" t="s">
        <v>1683</v>
      </c>
      <c r="Q8" s="3444"/>
      <c r="R8" s="664" t="s">
        <v>14</v>
      </c>
      <c r="S8" s="665">
        <f t="shared" si="0"/>
        <v>100</v>
      </c>
      <c r="T8" s="664" t="s">
        <v>14</v>
      </c>
      <c r="U8" s="665">
        <f t="shared" si="1"/>
        <v>100</v>
      </c>
      <c r="V8" s="664" t="s">
        <v>14</v>
      </c>
      <c r="W8" s="665">
        <f t="shared" si="2"/>
        <v>100</v>
      </c>
      <c r="X8" s="666"/>
      <c r="Y8" s="3443" t="s">
        <v>1683</v>
      </c>
      <c r="Z8" s="344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5"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5"/>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5"/>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5"/>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5"/>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6" t="s">
        <v>1691</v>
      </c>
      <c r="Q14" s="1263" t="str">
        <f t="shared" si="6"/>
        <v>交通便捷度</v>
      </c>
      <c r="R14" s="667" t="s">
        <v>14</v>
      </c>
      <c r="S14" s="668">
        <f t="shared" si="0"/>
        <v>100</v>
      </c>
      <c r="T14" s="667" t="s">
        <v>14</v>
      </c>
      <c r="U14" s="668">
        <f t="shared" si="1"/>
        <v>100</v>
      </c>
      <c r="V14" s="667" t="s">
        <v>14</v>
      </c>
      <c r="W14" s="668">
        <f t="shared" si="2"/>
        <v>100</v>
      </c>
      <c r="X14" s="1265"/>
      <c r="Y14" s="341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7"/>
      <c r="Q15" s="1263"/>
      <c r="R15" s="667"/>
      <c r="S15" s="668"/>
      <c r="T15" s="667"/>
      <c r="U15" s="668"/>
      <c r="V15" s="667"/>
      <c r="W15" s="668"/>
      <c r="X15" s="1265"/>
      <c r="Y15" s="341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7"/>
      <c r="Q16" s="1263" t="str">
        <f>B16</f>
        <v>公共配套设施</v>
      </c>
      <c r="R16" s="667" t="s">
        <v>14</v>
      </c>
      <c r="S16" s="668">
        <f>F16</f>
        <v>100</v>
      </c>
      <c r="T16" s="667" t="s">
        <v>14</v>
      </c>
      <c r="U16" s="668">
        <f>H16</f>
        <v>100</v>
      </c>
      <c r="V16" s="667" t="s">
        <v>14</v>
      </c>
      <c r="W16" s="668">
        <f>J16</f>
        <v>100</v>
      </c>
      <c r="X16" s="1265"/>
      <c r="Y16" s="341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7"/>
      <c r="Q17" s="1263"/>
      <c r="R17" s="667"/>
      <c r="S17" s="668"/>
      <c r="T17" s="667"/>
      <c r="U17" s="668"/>
      <c r="V17" s="667"/>
      <c r="W17" s="668"/>
      <c r="X17" s="1265"/>
      <c r="Y17" s="341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7"/>
      <c r="Q18" s="1263" t="str">
        <f>B18</f>
        <v>基础设施水平</v>
      </c>
      <c r="R18" s="667" t="s">
        <v>14</v>
      </c>
      <c r="S18" s="668">
        <f>F18</f>
        <v>100</v>
      </c>
      <c r="T18" s="667" t="s">
        <v>14</v>
      </c>
      <c r="U18" s="668">
        <f>H18</f>
        <v>100</v>
      </c>
      <c r="V18" s="667" t="s">
        <v>14</v>
      </c>
      <c r="W18" s="668">
        <f>J18</f>
        <v>100</v>
      </c>
      <c r="X18" s="1265"/>
      <c r="Y18" s="341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7"/>
      <c r="Q19" s="1263"/>
      <c r="R19" s="667"/>
      <c r="S19" s="668"/>
      <c r="T19" s="667"/>
      <c r="U19" s="668"/>
      <c r="V19" s="667"/>
      <c r="W19" s="668"/>
      <c r="X19" s="1265"/>
      <c r="Y19" s="341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7"/>
      <c r="Q20" s="1263" t="str">
        <f>B20</f>
        <v>自然及人文环境</v>
      </c>
      <c r="R20" s="667" t="s">
        <v>14</v>
      </c>
      <c r="S20" s="668">
        <f>F20</f>
        <v>100</v>
      </c>
      <c r="T20" s="667" t="s">
        <v>14</v>
      </c>
      <c r="U20" s="668">
        <f>H20</f>
        <v>100</v>
      </c>
      <c r="V20" s="667" t="s">
        <v>14</v>
      </c>
      <c r="W20" s="668">
        <f>J20</f>
        <v>100</v>
      </c>
      <c r="X20" s="1265"/>
      <c r="Y20" s="341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7"/>
      <c r="Q21" s="1263"/>
      <c r="R21" s="667"/>
      <c r="S21" s="668"/>
      <c r="T21" s="667"/>
      <c r="U21" s="668"/>
      <c r="V21" s="667"/>
      <c r="W21" s="668"/>
      <c r="X21" s="1265"/>
      <c r="Y21" s="341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7"/>
      <c r="Q22" s="1263" t="str">
        <f>B22</f>
        <v>楼层</v>
      </c>
      <c r="R22" s="667" t="s">
        <v>14</v>
      </c>
      <c r="S22" s="668">
        <f>F22</f>
        <v>100</v>
      </c>
      <c r="T22" s="667" t="s">
        <v>14</v>
      </c>
      <c r="U22" s="668">
        <f>H22</f>
        <v>100</v>
      </c>
      <c r="V22" s="667" t="s">
        <v>14</v>
      </c>
      <c r="W22" s="668">
        <f>J22</f>
        <v>100</v>
      </c>
      <c r="X22" s="1265"/>
      <c r="Y22" s="341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7"/>
      <c r="Q23" s="1263">
        <f>B23</f>
        <v>111</v>
      </c>
      <c r="R23" s="667" t="s">
        <v>14</v>
      </c>
      <c r="S23" s="668">
        <f>F23</f>
        <v>100</v>
      </c>
      <c r="T23" s="667" t="s">
        <v>14</v>
      </c>
      <c r="U23" s="668">
        <f>H23</f>
        <v>100</v>
      </c>
      <c r="V23" s="667" t="s">
        <v>14</v>
      </c>
      <c r="W23" s="668">
        <f>J23</f>
        <v>100</v>
      </c>
      <c r="X23" s="1265"/>
      <c r="Y23" s="341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7"/>
      <c r="Q24" s="1263">
        <f t="shared" ref="Q24:Q34" si="11">B24</f>
        <v>111</v>
      </c>
      <c r="R24" s="667" t="s">
        <v>14</v>
      </c>
      <c r="S24" s="668">
        <f>F24</f>
        <v>100</v>
      </c>
      <c r="T24" s="667" t="s">
        <v>14</v>
      </c>
      <c r="U24" s="668">
        <f>H24</f>
        <v>100</v>
      </c>
      <c r="V24" s="667" t="s">
        <v>14</v>
      </c>
      <c r="W24" s="668">
        <f>J24</f>
        <v>100</v>
      </c>
      <c r="X24" s="1265"/>
      <c r="Y24" s="341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7"/>
      <c r="Q25" s="530">
        <f t="shared" si="11"/>
        <v>111</v>
      </c>
      <c r="R25" s="664" t="s">
        <v>14</v>
      </c>
      <c r="S25" s="665">
        <f>F25</f>
        <v>100</v>
      </c>
      <c r="T25" s="664" t="s">
        <v>14</v>
      </c>
      <c r="U25" s="665">
        <f>H25</f>
        <v>100</v>
      </c>
      <c r="V25" s="664" t="s">
        <v>14</v>
      </c>
      <c r="W25" s="665">
        <f>J25</f>
        <v>100</v>
      </c>
      <c r="X25" s="666"/>
      <c r="Y25" s="341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5" t="str">
        <f>A35</f>
        <v>成交单价（元/平方米）</v>
      </c>
      <c r="Q35" s="3415"/>
      <c r="R35" s="3420">
        <f>E35</f>
        <v>0</v>
      </c>
      <c r="S35" s="3420"/>
      <c r="T35" s="3420">
        <f>G35</f>
        <v>0</v>
      </c>
      <c r="U35" s="3420"/>
      <c r="V35" s="3420">
        <f>I35</f>
        <v>0</v>
      </c>
      <c r="W35" s="3420"/>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15" t="str">
        <f>A36</f>
        <v>比较价值（元/平方米）</v>
      </c>
      <c r="Q36" s="3415"/>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9" t="str">
        <f>A37</f>
        <v>估价对象XX用房的比较价值（楼面单价，元/平方米）</v>
      </c>
      <c r="Q37" s="3410"/>
      <c r="R37" s="3500" t="e">
        <f>IF(F1="售价",ROUND(IF(D36="简单平均",AVERAGE(R36:W36),R36*F36+T36*H36+V36*J36),0),ROUND(IF(D36="简单平均",AVERAGE(R36:V36),R36*F36+T36*H36+V36*J36),1))</f>
        <v>#DIV/0!</v>
      </c>
      <c r="S37" s="3500"/>
      <c r="T37" s="3500"/>
      <c r="U37" s="3500"/>
      <c r="V37" s="3500"/>
      <c r="W37" s="350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24"/>
      <c r="E4" s="3425" t="s">
        <v>1771</v>
      </c>
      <c r="F4" s="3426"/>
      <c r="G4" s="3412" t="s">
        <v>1772</v>
      </c>
      <c r="H4" s="3424"/>
      <c r="I4" s="3412" t="s">
        <v>1773</v>
      </c>
      <c r="J4" s="3424"/>
      <c r="K4" s="537" t="s">
        <v>1774</v>
      </c>
      <c r="L4" s="2487"/>
      <c r="M4" s="2488"/>
      <c r="N4" s="2488"/>
      <c r="O4" s="2488"/>
      <c r="P4" s="3427" t="s">
        <v>1775</v>
      </c>
      <c r="Q4" s="3428"/>
      <c r="R4" s="3433" t="s">
        <v>1771</v>
      </c>
      <c r="S4" s="3434"/>
      <c r="T4" s="3433" t="s">
        <v>1772</v>
      </c>
      <c r="U4" s="3434"/>
      <c r="V4" s="3420" t="s">
        <v>1773</v>
      </c>
      <c r="W4" s="3420"/>
      <c r="X4" s="1265"/>
      <c r="Y4" s="3433" t="s">
        <v>1775</v>
      </c>
      <c r="Z4" s="3434"/>
      <c r="AA4" s="3421" t="s">
        <v>1771</v>
      </c>
      <c r="AB4" s="3422" t="s">
        <v>1772</v>
      </c>
      <c r="AC4" s="3421" t="s">
        <v>1773</v>
      </c>
    </row>
    <row r="5" spans="1:29" ht="15">
      <c r="A5" s="348"/>
      <c r="B5" s="349"/>
      <c r="C5" s="3441" t="s">
        <v>1673</v>
      </c>
      <c r="D5" s="3442"/>
      <c r="E5" s="3448" t="s">
        <v>1674</v>
      </c>
      <c r="F5" s="3449"/>
      <c r="G5" s="3441" t="s">
        <v>1675</v>
      </c>
      <c r="H5" s="3442"/>
      <c r="I5" s="3441" t="s">
        <v>1676</v>
      </c>
      <c r="J5" s="3442"/>
      <c r="K5" s="537"/>
      <c r="L5" s="2487"/>
      <c r="M5" s="2488"/>
      <c r="N5" s="2488"/>
      <c r="O5" s="2488"/>
      <c r="P5" s="3429"/>
      <c r="Q5" s="3430"/>
      <c r="R5" s="3435"/>
      <c r="S5" s="3436"/>
      <c r="T5" s="3435"/>
      <c r="U5" s="3436"/>
      <c r="V5" s="3420"/>
      <c r="W5" s="3420"/>
      <c r="X5" s="1265"/>
      <c r="Y5" s="3435"/>
      <c r="Z5" s="3436"/>
      <c r="AA5" s="3422"/>
      <c r="AB5" s="3422"/>
      <c r="AC5" s="3422"/>
    </row>
    <row r="6" spans="1:29" ht="15.75" thickBot="1">
      <c r="A6" s="350"/>
      <c r="B6" s="351"/>
      <c r="C6" s="3503" t="s">
        <v>1918</v>
      </c>
      <c r="D6" s="3504"/>
      <c r="E6" s="3505" t="s">
        <v>1918</v>
      </c>
      <c r="F6" s="3506"/>
      <c r="G6" s="3503" t="s">
        <v>1918</v>
      </c>
      <c r="H6" s="3504"/>
      <c r="I6" s="3503" t="s">
        <v>1918</v>
      </c>
      <c r="J6" s="3504"/>
      <c r="K6" s="537" t="s">
        <v>1678</v>
      </c>
      <c r="L6" s="2487"/>
      <c r="M6" s="2488"/>
      <c r="N6" s="2488"/>
      <c r="O6" s="2488"/>
      <c r="P6" s="3431"/>
      <c r="Q6" s="3432"/>
      <c r="R6" s="3435"/>
      <c r="S6" s="3436"/>
      <c r="T6" s="3437"/>
      <c r="U6" s="3438"/>
      <c r="V6" s="3420"/>
      <c r="W6" s="3420"/>
      <c r="X6" s="1265"/>
      <c r="Y6" s="3437"/>
      <c r="Z6" s="3438"/>
      <c r="AA6" s="3423"/>
      <c r="AB6" s="3423"/>
      <c r="AC6" s="3423"/>
    </row>
    <row r="7" spans="1:29" s="102" customFormat="1" ht="15.75" thickBot="1">
      <c r="A7" s="352" t="s">
        <v>1679</v>
      </c>
      <c r="B7" s="353"/>
      <c r="C7" s="354">
        <f>'数据-取费表'!B2</f>
        <v>45962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3" t="s">
        <v>1683</v>
      </c>
      <c r="Q8" s="3444"/>
      <c r="R8" s="664" t="s">
        <v>14</v>
      </c>
      <c r="S8" s="665">
        <f t="shared" si="0"/>
        <v>0</v>
      </c>
      <c r="T8" s="664" t="s">
        <v>14</v>
      </c>
      <c r="U8" s="665">
        <f t="shared" si="1"/>
        <v>0</v>
      </c>
      <c r="V8" s="664" t="s">
        <v>14</v>
      </c>
      <c r="W8" s="665">
        <f t="shared" si="2"/>
        <v>0</v>
      </c>
      <c r="X8" s="666"/>
      <c r="Y8" s="3443" t="s">
        <v>1683</v>
      </c>
      <c r="Z8" s="344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5"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102</v>
      </c>
      <c r="G10" s="371"/>
      <c r="H10" s="119">
        <f>ROUND(100/'数据-取费表'!G16,0)</f>
        <v>102</v>
      </c>
      <c r="I10" s="371"/>
      <c r="J10" s="119">
        <f>ROUND(100/'数据-取费表'!G16,0)</f>
        <v>102</v>
      </c>
      <c r="K10" s="592"/>
      <c r="L10" s="2490"/>
      <c r="M10" s="2491"/>
      <c r="N10" s="2491"/>
      <c r="O10" s="2542"/>
      <c r="P10" s="3415"/>
      <c r="Q10" s="530" t="str">
        <f t="shared" si="6"/>
        <v>土地使用年限（年）</v>
      </c>
      <c r="R10" s="664" t="s">
        <v>14</v>
      </c>
      <c r="S10" s="665">
        <f t="shared" si="0"/>
        <v>102</v>
      </c>
      <c r="T10" s="664" t="s">
        <v>14</v>
      </c>
      <c r="U10" s="665">
        <f t="shared" si="1"/>
        <v>102</v>
      </c>
      <c r="V10" s="664" t="s">
        <v>14</v>
      </c>
      <c r="W10" s="665">
        <f t="shared" si="2"/>
        <v>102</v>
      </c>
      <c r="X10" s="666"/>
      <c r="Y10" s="3312"/>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5"/>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5"/>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5"/>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5"/>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6" t="s">
        <v>1691</v>
      </c>
      <c r="Q15" s="1263" t="str">
        <f t="shared" si="6"/>
        <v>产业集聚程度</v>
      </c>
      <c r="R15" s="667" t="s">
        <v>14</v>
      </c>
      <c r="S15" s="668">
        <f t="shared" si="0"/>
        <v>100</v>
      </c>
      <c r="T15" s="667" t="s">
        <v>14</v>
      </c>
      <c r="U15" s="668">
        <f t="shared" si="1"/>
        <v>100</v>
      </c>
      <c r="V15" s="667" t="s">
        <v>14</v>
      </c>
      <c r="W15" s="668">
        <f t="shared" si="2"/>
        <v>100</v>
      </c>
      <c r="X15" s="1265"/>
      <c r="Y15" s="341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7"/>
      <c r="Q16" s="1263"/>
      <c r="R16" s="667"/>
      <c r="S16" s="668"/>
      <c r="T16" s="667"/>
      <c r="U16" s="668"/>
      <c r="V16" s="667"/>
      <c r="W16" s="668"/>
      <c r="X16" s="1265"/>
      <c r="Y16" s="341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7"/>
      <c r="Q17" s="1263" t="str">
        <f>B17</f>
        <v>交通便捷度</v>
      </c>
      <c r="R17" s="667" t="s">
        <v>14</v>
      </c>
      <c r="S17" s="668">
        <f>F17</f>
        <v>100</v>
      </c>
      <c r="T17" s="667" t="s">
        <v>14</v>
      </c>
      <c r="U17" s="668">
        <f>H17</f>
        <v>100</v>
      </c>
      <c r="V17" s="667" t="s">
        <v>14</v>
      </c>
      <c r="W17" s="668">
        <f>J17</f>
        <v>100</v>
      </c>
      <c r="X17" s="1265"/>
      <c r="Y17" s="341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7"/>
      <c r="Q18" s="1263"/>
      <c r="R18" s="667"/>
      <c r="S18" s="668"/>
      <c r="T18" s="667"/>
      <c r="U18" s="668"/>
      <c r="V18" s="667"/>
      <c r="W18" s="668"/>
      <c r="X18" s="1265"/>
      <c r="Y18" s="3417"/>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7"/>
      <c r="Q19" s="1263" t="str">
        <f t="shared" ref="Q19:Q33" si="8">B19</f>
        <v>区域土地利用方向</v>
      </c>
      <c r="R19" s="667" t="s">
        <v>14</v>
      </c>
      <c r="S19" s="668">
        <f>F19</f>
        <v>100</v>
      </c>
      <c r="T19" s="667" t="s">
        <v>14</v>
      </c>
      <c r="U19" s="668">
        <f>H19</f>
        <v>100</v>
      </c>
      <c r="V19" s="667" t="s">
        <v>14</v>
      </c>
      <c r="W19" s="668">
        <f>J19</f>
        <v>100</v>
      </c>
      <c r="X19" s="1265"/>
      <c r="Y19" s="341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7"/>
      <c r="Q20" s="1263"/>
      <c r="R20" s="667"/>
      <c r="S20" s="668"/>
      <c r="T20" s="667"/>
      <c r="U20" s="668"/>
      <c r="V20" s="667"/>
      <c r="W20" s="668"/>
      <c r="X20" s="1265"/>
      <c r="Y20" s="3417"/>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7"/>
      <c r="Q21" s="1263" t="str">
        <f t="shared" si="8"/>
        <v>环境状况</v>
      </c>
      <c r="R21" s="667" t="s">
        <v>14</v>
      </c>
      <c r="S21" s="668">
        <f>F21</f>
        <v>100</v>
      </c>
      <c r="T21" s="667" t="s">
        <v>14</v>
      </c>
      <c r="U21" s="668">
        <f>H21</f>
        <v>100</v>
      </c>
      <c r="V21" s="667" t="s">
        <v>14</v>
      </c>
      <c r="W21" s="668">
        <f>J21</f>
        <v>100</v>
      </c>
      <c r="X21" s="1265"/>
      <c r="Y21" s="341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7"/>
      <c r="Q22" s="1263"/>
      <c r="R22" s="667"/>
      <c r="S22" s="668"/>
      <c r="T22" s="667"/>
      <c r="U22" s="668"/>
      <c r="V22" s="667"/>
      <c r="W22" s="668"/>
      <c r="X22" s="1265"/>
      <c r="Y22" s="341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7"/>
      <c r="Q24" s="530"/>
      <c r="R24" s="664"/>
      <c r="S24" s="665"/>
      <c r="T24" s="664"/>
      <c r="U24" s="665"/>
      <c r="V24" s="664"/>
      <c r="W24" s="665"/>
      <c r="X24" s="666"/>
      <c r="Y24" s="341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7"/>
      <c r="Q28" s="1263" t="str">
        <f t="shared" si="8"/>
        <v>毗邻道路的类型与等级</v>
      </c>
      <c r="R28" s="667" t="s">
        <v>14</v>
      </c>
      <c r="S28" s="668">
        <f t="shared" si="10"/>
        <v>100</v>
      </c>
      <c r="T28" s="667" t="s">
        <v>14</v>
      </c>
      <c r="U28" s="668">
        <f t="shared" si="11"/>
        <v>100</v>
      </c>
      <c r="V28" s="667" t="s">
        <v>14</v>
      </c>
      <c r="W28" s="668">
        <f t="shared" si="12"/>
        <v>100</v>
      </c>
      <c r="X28" s="1265"/>
      <c r="Y28" s="341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7"/>
      <c r="Q29" s="1263"/>
      <c r="R29" s="667"/>
      <c r="S29" s="668"/>
      <c r="T29" s="667"/>
      <c r="U29" s="668"/>
      <c r="V29" s="667"/>
      <c r="W29" s="668"/>
      <c r="X29" s="1265"/>
      <c r="Y29" s="3417"/>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7"/>
      <c r="Q30" s="1263" t="str">
        <f t="shared" si="8"/>
        <v>土地级别</v>
      </c>
      <c r="R30" s="667" t="s">
        <v>14</v>
      </c>
      <c r="S30" s="668">
        <f t="shared" si="10"/>
        <v>100</v>
      </c>
      <c r="T30" s="667" t="s">
        <v>14</v>
      </c>
      <c r="U30" s="668">
        <f t="shared" si="11"/>
        <v>100</v>
      </c>
      <c r="V30" s="667" t="s">
        <v>14</v>
      </c>
      <c r="W30" s="668">
        <f t="shared" si="12"/>
        <v>100</v>
      </c>
      <c r="X30" s="1265"/>
      <c r="Y30" s="341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7"/>
      <c r="Q31" s="1263">
        <f t="shared" si="8"/>
        <v>111</v>
      </c>
      <c r="R31" s="667" t="s">
        <v>14</v>
      </c>
      <c r="S31" s="668">
        <f t="shared" si="10"/>
        <v>100</v>
      </c>
      <c r="T31" s="667" t="s">
        <v>14</v>
      </c>
      <c r="U31" s="668">
        <f t="shared" si="11"/>
        <v>100</v>
      </c>
      <c r="V31" s="667" t="s">
        <v>14</v>
      </c>
      <c r="W31" s="668">
        <f t="shared" si="12"/>
        <v>100</v>
      </c>
      <c r="X31" s="1265"/>
      <c r="Y31" s="341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30" t="s">
        <v>1921</v>
      </c>
      <c r="C41" s="602" t="s">
        <v>0</v>
      </c>
      <c r="D41" s="418"/>
      <c r="E41" s="419"/>
      <c r="F41" s="420"/>
      <c r="G41" s="421"/>
      <c r="H41" s="422"/>
      <c r="I41" s="419"/>
      <c r="J41" s="422"/>
      <c r="K41" s="674"/>
      <c r="L41" s="2495"/>
      <c r="M41" s="2488"/>
      <c r="N41" s="2488"/>
      <c r="O41" s="2488"/>
      <c r="P41" s="3415" t="str">
        <f>A41</f>
        <v>成交单价</v>
      </c>
      <c r="Q41" s="3415"/>
      <c r="R41" s="3420">
        <f>E41</f>
        <v>0</v>
      </c>
      <c r="S41" s="3420"/>
      <c r="T41" s="3420">
        <f>G41</f>
        <v>0</v>
      </c>
      <c r="U41" s="3420"/>
      <c r="V41" s="3420">
        <f>I41</f>
        <v>0</v>
      </c>
      <c r="W41" s="3420"/>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15" t="str">
        <f>A42</f>
        <v>比较价值（元/平方米）</v>
      </c>
      <c r="Q42" s="3415"/>
      <c r="R42" s="3408" t="e">
        <f>ROUND(PRODUCT(R41,AA7:AA40),0)</f>
        <v>#DIV/0!</v>
      </c>
      <c r="S42" s="3408"/>
      <c r="T42" s="3408" t="e">
        <f>ROUND(PRODUCT(T41,AB7:AB40),0)</f>
        <v>#DIV/0!</v>
      </c>
      <c r="U42" s="3408"/>
      <c r="V42" s="3408" t="e">
        <f>ROUND(PRODUCT(V41,AC7:AC40),0)</f>
        <v>#DIV/0!</v>
      </c>
      <c r="W42" s="340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9" t="str">
        <f>A43</f>
        <v>估价对象XX用房的比较价值（楼面单价，元/平方米）</v>
      </c>
      <c r="Q43" s="3410"/>
      <c r="R43" s="3411" t="e">
        <f>ROUND(IF(D42="简单平均",AVERAGE(R42:W42),R42*F42+T42*H42+V42*J42),0)</f>
        <v>#DIV/0!</v>
      </c>
      <c r="S43" s="3411"/>
      <c r="T43" s="3411"/>
      <c r="U43" s="3411"/>
      <c r="V43" s="3411"/>
      <c r="W43" s="341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412" t="s">
        <v>1886</v>
      </c>
      <c r="H50" s="3413"/>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140502.72</v>
      </c>
      <c r="F51" s="611" t="e">
        <f t="shared" ref="F51:F60" si="15">ROUND(B51*E51/10000,0)</f>
        <v>#DIV/0!</v>
      </c>
      <c r="G51" s="3414"/>
      <c r="H51" s="341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15739.37</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0.1</v>
      </c>
      <c r="D58" s="891">
        <v>0.25</v>
      </c>
      <c r="E58" s="209">
        <f>'数据-汇总表'!E13</f>
        <v>39646.74</v>
      </c>
      <c r="F58" s="611" t="e">
        <f t="shared" si="15"/>
        <v>#DIV/0!</v>
      </c>
      <c r="G58" s="839" t="s">
        <v>1899</v>
      </c>
      <c r="H58" s="834" t="str">
        <f>IF(G58="商业",项目基本情况!B37,IF(G58="办公",项目基本情况!C37,IF(G58="住宅",项目基本情况!D37,项目基本情况!E37)))</f>
        <v>八级</v>
      </c>
      <c r="I58" s="727">
        <f>SUMIF(修正!A59:A70,H58,修正!G59:G70)</f>
        <v>0.1</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61673.46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10" t="s">
        <v>2083</v>
      </c>
      <c r="D1" s="3511"/>
      <c r="E1" s="3511"/>
      <c r="F1" s="3511"/>
      <c r="G1" s="3511"/>
      <c r="H1" s="3511"/>
      <c r="I1" s="3511"/>
      <c r="J1" s="3511"/>
      <c r="K1" s="3511"/>
      <c r="L1" s="3511"/>
      <c r="M1" s="3511"/>
      <c r="N1" s="3511"/>
      <c r="O1" s="3511"/>
      <c r="P1" s="3511"/>
      <c r="Q1" s="3511"/>
      <c r="R1" s="3511"/>
      <c r="S1" s="3512"/>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07" t="s">
        <v>27</v>
      </c>
      <c r="D22" s="3508"/>
      <c r="E22" s="3508"/>
      <c r="F22" s="3508"/>
      <c r="G22" s="3508"/>
      <c r="H22" s="3508"/>
      <c r="I22" s="3508"/>
      <c r="J22" s="3508"/>
      <c r="K22" s="3508"/>
      <c r="L22" s="3508"/>
      <c r="M22" s="3508"/>
      <c r="N22" s="3508"/>
      <c r="O22" s="3508"/>
      <c r="P22" s="3508"/>
      <c r="Q22" s="350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1391"/>
      <c r="B4" s="3208" t="s">
        <v>917</v>
      </c>
      <c r="C4" s="3208"/>
      <c r="D4" s="3208"/>
      <c r="E4" s="1391"/>
    </row>
    <row r="5" spans="1:5" ht="16.5" thickTop="1">
      <c r="B5" s="3206" t="s">
        <v>909</v>
      </c>
      <c r="C5" s="1392" t="s">
        <v>910</v>
      </c>
      <c r="D5" s="797">
        <f ca="1">结果表!H101</f>
        <v>304001</v>
      </c>
    </row>
    <row r="6" spans="1:5" ht="15.75">
      <c r="B6" s="3206"/>
      <c r="C6" s="1392" t="s">
        <v>911</v>
      </c>
      <c r="D6" s="797" t="str">
        <f ca="1">NUMBERSTRING(INT(D5*10000),2)&amp;"元整"</f>
        <v>叁拾亿肆仟零壹万元整</v>
      </c>
    </row>
    <row r="7" spans="1:5" ht="15.75">
      <c r="B7" s="3211"/>
      <c r="C7" s="1393" t="s">
        <v>912</v>
      </c>
      <c r="D7" s="798">
        <f ca="1">结果表!H102</f>
        <v>15519</v>
      </c>
    </row>
    <row r="8" spans="1:5" ht="15.75">
      <c r="B8" s="3212" t="str">
        <f>结果表!E103</f>
        <v>2.估价师知悉的法定优先受偿款</v>
      </c>
      <c r="C8" s="1394" t="s">
        <v>913</v>
      </c>
      <c r="D8" s="798">
        <f>结果表!H103</f>
        <v>0</v>
      </c>
    </row>
    <row r="9" spans="1:5" ht="15.75">
      <c r="B9" s="321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5" t="str">
        <f>结果表!E107</f>
        <v>3.房地产抵押价值</v>
      </c>
      <c r="C13" s="1397" t="s">
        <v>910</v>
      </c>
      <c r="D13" s="800">
        <f ca="1">结果表!H107</f>
        <v>304001</v>
      </c>
    </row>
    <row r="14" spans="1:5" ht="15.75">
      <c r="B14" s="3206"/>
      <c r="C14" s="1392" t="s">
        <v>911</v>
      </c>
      <c r="D14" s="797" t="str">
        <f ca="1">NUMBERSTRING(INT(D13*10000),2)&amp;"元整"</f>
        <v>叁拾亿肆仟零壹万元整</v>
      </c>
    </row>
    <row r="15" spans="1:5" ht="15">
      <c r="B15" s="3211"/>
      <c r="C15" s="1393" t="s">
        <v>921</v>
      </c>
      <c r="D15" s="806">
        <f ca="1">结果表!H108</f>
        <v>15519</v>
      </c>
    </row>
    <row r="16" spans="1:5" ht="15">
      <c r="B16" s="3212" t="str">
        <f>结果表!E109</f>
        <v>——</v>
      </c>
      <c r="C16" s="1397" t="s">
        <v>922</v>
      </c>
      <c r="D16" s="1398" t="str">
        <f>结果表!H109</f>
        <v>——</v>
      </c>
    </row>
    <row r="17" spans="1:5" ht="15.75">
      <c r="B17" s="3213"/>
      <c r="C17" s="1392" t="s">
        <v>923</v>
      </c>
      <c r="D17" s="797" t="e">
        <f>NUMBERSTRING(INT(D16*10000),2)&amp;"元整"</f>
        <v>#VALUE!</v>
      </c>
    </row>
    <row r="18" spans="1:5" ht="15">
      <c r="B18" s="3214"/>
      <c r="C18" s="1393" t="s">
        <v>912</v>
      </c>
      <c r="D18" s="806" t="str">
        <f>结果表!H110</f>
        <v>——</v>
      </c>
    </row>
    <row r="19" spans="1:5" ht="15.75">
      <c r="B19" s="3205" t="str">
        <f>结果表!E111</f>
        <v>——</v>
      </c>
      <c r="C19" s="1397" t="s">
        <v>910</v>
      </c>
      <c r="D19" s="798" t="str">
        <f>结果表!H111</f>
        <v>——</v>
      </c>
    </row>
    <row r="20" spans="1:5" ht="15.75">
      <c r="B20" s="3206"/>
      <c r="C20" s="1392" t="s">
        <v>923</v>
      </c>
      <c r="D20" s="797" t="e">
        <f>NUMBERSTRING(INT(D19*10000),2)&amp;"元整"</f>
        <v>#VALUE!</v>
      </c>
    </row>
    <row r="21" spans="1:5" ht="15.75" thickBot="1">
      <c r="B21" s="320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20"/>
      <c r="B4" s="3521"/>
      <c r="C4" s="3521"/>
      <c r="D4" s="3522"/>
      <c r="E4" s="3522"/>
      <c r="F4" s="3522"/>
      <c r="G4" s="3522"/>
      <c r="H4" s="3522"/>
      <c r="I4" s="3522"/>
      <c r="J4" s="3523"/>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3227</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17" t="s">
        <v>1959</v>
      </c>
      <c r="X8" s="3518"/>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19"/>
      <c r="X9" s="3065" t="s">
        <v>3256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1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c r="D12" s="3016" t="s">
        <v>3230</v>
      </c>
      <c r="E12" s="3017" t="s">
        <v>3231</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3233</v>
      </c>
      <c r="G14" s="3021" t="s">
        <v>3233</v>
      </c>
      <c r="H14" s="3021" t="s">
        <v>3233</v>
      </c>
      <c r="I14" s="3021" t="s">
        <v>3233</v>
      </c>
      <c r="J14" s="3021" t="s">
        <v>3233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t="e">
        <f>ROUND(G18/I18,2)</f>
        <v>#DIV/0!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24" t="s">
        <v>3244</v>
      </c>
      <c r="B20" s="159" t="s">
        <v>1993</v>
      </c>
      <c r="C20" s="3032" t="e">
        <f>ROUND(IF(F21="与级别开发程度一致",0,(G21-E21)/C21),0)</f>
        <v>#DIV/0!</v>
      </c>
      <c r="D20" s="3047" t="s">
        <v>1997</v>
      </c>
      <c r="E20" s="3048"/>
      <c r="F20" s="3530" t="s">
        <v>1994</v>
      </c>
      <c r="G20" s="353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25"/>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2001</v>
      </c>
      <c r="E23" s="717">
        <v>44197</v>
      </c>
      <c r="F23" s="1896" t="s">
        <v>2002</v>
      </c>
      <c r="G23" s="718">
        <f>'数据-取费表'!B2</f>
        <v>45962</v>
      </c>
      <c r="H23" s="3049"/>
      <c r="I23" s="3050" t="str">
        <f>IF(H23="季度增幅（自定义）",SUMIF(N25:N28,E2,O25:O28),"")</f>
        <v/>
      </c>
      <c r="J23" s="3142"/>
      <c r="K23" s="1061"/>
      <c r="L23" s="1897" t="s">
        <v>2003</v>
      </c>
      <c r="M23" s="1241">
        <f>ROUND(SUMIF(地价!B2:G2,E2,地价!B16:G16),0)</f>
        <v>0</v>
      </c>
      <c r="N23" s="1898" t="s">
        <v>2004</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存贷款利率!E28/100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3323</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3246</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3248</v>
      </c>
      <c r="G33" s="1941"/>
      <c r="H33" s="1941"/>
      <c r="I33" s="1941"/>
      <c r="J33" s="1942"/>
      <c r="K33" s="1056"/>
      <c r="L33" s="3054" t="s">
        <v>3251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3249</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3253</v>
      </c>
      <c r="L36" s="3143">
        <f ca="1">'数据-取费表'!B40</f>
        <v>3.2500000000000001E-2</v>
      </c>
      <c r="M36" s="2366">
        <f ca="1">ROUND($L$36*(1+M31),3)</f>
        <v>4.1000000000000002E-2</v>
      </c>
      <c r="N36" s="2366">
        <f ca="1">ROUND($L$36*(1+N31),3)</f>
        <v>3.9E-2</v>
      </c>
      <c r="O36" s="2366">
        <f ca="1">ROUND($L$36*(1+O31),3)</f>
        <v>3.6999999999999998E-2</v>
      </c>
      <c r="P36" s="2366">
        <f ca="1">ROUND($L$36*(1+P31),3)</f>
        <v>3.5999999999999997E-2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28"/>
      <c r="B37" s="1955" t="s">
        <v>2035</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3254</v>
      </c>
      <c r="L37" s="1964">
        <f ca="1">L36+K38</f>
        <v>3.7499999999999999E-2</v>
      </c>
      <c r="M37" s="2366">
        <f ca="1">ROUND($L$37*(1+M31),3)</f>
        <v>4.7E-2</v>
      </c>
      <c r="N37" s="2366">
        <f t="shared" ref="N37:Q37" ca="1" si="3">ROUND($L$37*(1+N31),3)</f>
        <v>4.4999999999999998E-2</v>
      </c>
      <c r="O37" s="2366">
        <f t="shared" ca="1" si="3"/>
        <v>4.2999999999999997E-2</v>
      </c>
      <c r="P37" s="2366">
        <f t="shared" ca="1" si="3"/>
        <v>4.1000000000000002E-2</v>
      </c>
      <c r="Q37" s="2366">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9"/>
      <c r="B38" s="1884" t="s">
        <v>2036</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9"/>
      <c r="B39" s="1884" t="s">
        <v>3247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3255</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2602</v>
      </c>
      <c r="B91" s="3080">
        <f>1+E93</f>
        <v>1</v>
      </c>
      <c r="C91" s="3073"/>
      <c r="D91" s="3074"/>
      <c r="E91" s="1675"/>
      <c r="F91" s="1675"/>
      <c r="G91" s="3075"/>
      <c r="H91" s="3076"/>
      <c r="I91" s="3077"/>
      <c r="J91" s="3078"/>
      <c r="K91" s="3078"/>
      <c r="L91" s="3078"/>
      <c r="M91" s="3078"/>
      <c r="N91" s="3078"/>
    </row>
    <row r="92" spans="1:37" ht="24.75">
      <c r="A92" s="3081" t="s">
        <v>3259</v>
      </c>
      <c r="B92" s="2310"/>
      <c r="C92" s="2310" t="s">
        <v>3268</v>
      </c>
      <c r="D92" s="2310" t="s">
        <v>3269</v>
      </c>
      <c r="E92" s="3053" t="s">
        <v>3270</v>
      </c>
      <c r="F92" s="3083" t="s">
        <v>3271</v>
      </c>
      <c r="G92" s="2310" t="s">
        <v>3272</v>
      </c>
      <c r="H92" s="3090" t="s">
        <v>3275</v>
      </c>
      <c r="I92" s="2310" t="s">
        <v>3276</v>
      </c>
      <c r="J92" s="2150" t="s">
        <v>3277</v>
      </c>
      <c r="K92" s="2150" t="s">
        <v>3278</v>
      </c>
      <c r="L92" s="2150" t="s">
        <v>3279</v>
      </c>
      <c r="M92" s="2150" t="s">
        <v>3280</v>
      </c>
      <c r="N92" s="2150" t="s">
        <v>3281</v>
      </c>
    </row>
    <row r="93" spans="1:37" ht="24">
      <c r="A93" s="3071" t="s">
        <v>3260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3261</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3262</v>
      </c>
      <c r="B96" s="3087" t="s">
        <v>3273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3264</v>
      </c>
      <c r="B98" s="3088" t="s">
        <v>3274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3265</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3266</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3267</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26" t="s">
        <v>3282</v>
      </c>
      <c r="B103" s="3526"/>
      <c r="C103" s="3526"/>
      <c r="D103" s="3526"/>
      <c r="E103" s="3526"/>
      <c r="F103" s="3526"/>
      <c r="G103" s="3526"/>
      <c r="H103" s="3526"/>
      <c r="I103" s="3526"/>
      <c r="J103" s="3526"/>
      <c r="K103" s="1667"/>
      <c r="L103" s="1667"/>
      <c r="M103" s="1667"/>
      <c r="N103" s="1667"/>
    </row>
    <row r="104" spans="1:14">
      <c r="A104" s="3527" t="s">
        <v>3283</v>
      </c>
      <c r="B104" s="3527" t="s">
        <v>3284</v>
      </c>
      <c r="C104" s="3091" t="s">
        <v>3285</v>
      </c>
      <c r="D104" s="3092"/>
      <c r="E104" s="3092"/>
      <c r="F104" s="3092"/>
      <c r="G104" s="3092"/>
      <c r="H104" s="3092"/>
      <c r="I104" s="3092"/>
      <c r="J104" s="3093"/>
      <c r="K104" s="3094"/>
      <c r="L104" s="3094"/>
      <c r="M104" s="3094"/>
      <c r="N104" s="3094"/>
    </row>
    <row r="105" spans="1:14">
      <c r="A105" s="3527"/>
      <c r="B105" s="3527"/>
      <c r="C105" s="3095" t="s">
        <v>3286</v>
      </c>
      <c r="D105" s="3095" t="s">
        <v>3287</v>
      </c>
      <c r="E105" s="3095" t="s">
        <v>3288</v>
      </c>
      <c r="F105" s="3095" t="s">
        <v>3289</v>
      </c>
      <c r="G105" s="3095" t="s">
        <v>3290</v>
      </c>
      <c r="H105" s="3095" t="s">
        <v>3291</v>
      </c>
      <c r="I105" s="3095" t="s">
        <v>3292</v>
      </c>
      <c r="J105" s="3095" t="s">
        <v>3293</v>
      </c>
      <c r="K105" s="3095" t="s">
        <v>3294</v>
      </c>
      <c r="L105" s="3095" t="s">
        <v>3295</v>
      </c>
      <c r="M105" s="3095" t="s">
        <v>3296</v>
      </c>
      <c r="N105" s="3095" t="s">
        <v>3297</v>
      </c>
    </row>
    <row r="106" spans="1:14">
      <c r="A106" s="3513" t="s">
        <v>3298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4"/>
      <c r="B111" s="3095" t="s">
        <v>3256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1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16" t="s">
        <v>3299</v>
      </c>
      <c r="B113" s="3516"/>
      <c r="C113" s="3516"/>
      <c r="D113" s="3516"/>
      <c r="E113" s="3516"/>
      <c r="F113" s="3516"/>
      <c r="G113" s="3516"/>
      <c r="H113" s="3516"/>
      <c r="I113" s="3516"/>
      <c r="J113" s="351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3300</v>
      </c>
      <c r="B116" s="3115">
        <f>G3</f>
        <v>0</v>
      </c>
      <c r="C116" s="3100" t="s">
        <v>3301</v>
      </c>
      <c r="D116" s="3101">
        <f>SUMPRODUCT((A118:A122=F116)*(B117:M117=H116)*B118:M122)</f>
        <v>0</v>
      </c>
      <c r="E116" s="162" t="s">
        <v>3302</v>
      </c>
      <c r="F116" s="3102">
        <f>E2</f>
        <v>0</v>
      </c>
      <c r="G116" s="162" t="s">
        <v>3303</v>
      </c>
      <c r="H116" s="3102">
        <f>G2</f>
        <v>0</v>
      </c>
      <c r="I116" s="162"/>
      <c r="J116" s="3103"/>
      <c r="K116" s="3103"/>
      <c r="L116" s="3103"/>
      <c r="M116" s="3103"/>
      <c r="N116" s="3098"/>
    </row>
    <row r="117" spans="1:14">
      <c r="A117" s="3104"/>
      <c r="B117" s="3105" t="s">
        <v>3304</v>
      </c>
      <c r="C117" s="3105" t="s">
        <v>3305</v>
      </c>
      <c r="D117" s="3105" t="s">
        <v>3306</v>
      </c>
      <c r="E117" s="3106" t="s">
        <v>3307</v>
      </c>
      <c r="F117" s="3106" t="s">
        <v>3308</v>
      </c>
      <c r="G117" s="3106" t="s">
        <v>3309</v>
      </c>
      <c r="H117" s="3107" t="s">
        <v>3310</v>
      </c>
      <c r="I117" s="3107" t="s">
        <v>3311</v>
      </c>
      <c r="J117" s="3108" t="s">
        <v>3312</v>
      </c>
      <c r="K117" s="3108" t="s">
        <v>3313</v>
      </c>
      <c r="L117" s="3108" t="s">
        <v>3314</v>
      </c>
      <c r="M117" s="3109" t="s">
        <v>3315</v>
      </c>
      <c r="N117" s="3098"/>
    </row>
    <row r="118" spans="1:14">
      <c r="A118" s="3058" t="s">
        <v>3316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3317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3318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3319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2584</v>
      </c>
      <c r="B1" s="2812" t="s">
        <v>2585</v>
      </c>
      <c r="C1" s="2812" t="s">
        <v>2586</v>
      </c>
      <c r="D1" s="2812" t="s">
        <v>2587</v>
      </c>
      <c r="E1" s="2812" t="s">
        <v>2588</v>
      </c>
      <c r="F1" s="2812" t="s">
        <v>2589</v>
      </c>
      <c r="G1" s="2812" t="s">
        <v>2590</v>
      </c>
      <c r="H1" s="2812" t="s">
        <v>2591</v>
      </c>
      <c r="I1" s="2812" t="s">
        <v>2592</v>
      </c>
      <c r="J1" s="2812" t="s">
        <v>2593</v>
      </c>
      <c r="K1" s="2812" t="s">
        <v>2594</v>
      </c>
      <c r="L1" s="2812" t="s">
        <v>2595</v>
      </c>
      <c r="M1" s="2813" t="s">
        <v>2596</v>
      </c>
    </row>
    <row r="2" spans="1:13" ht="19.5" customHeight="1">
      <c r="A2" s="2815" t="s">
        <v>2597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2613</v>
      </c>
      <c r="B18" s="2837"/>
      <c r="C18" s="2838"/>
      <c r="D18" s="2838"/>
      <c r="E18" s="2837"/>
      <c r="F18" s="2838"/>
      <c r="G18" s="2838"/>
    </row>
    <row r="19" spans="1:13" ht="19.5" customHeight="1" thickBot="1">
      <c r="A19" s="2835" t="s">
        <v>2614</v>
      </c>
      <c r="B19" s="2840" t="s">
        <v>2615</v>
      </c>
      <c r="C19" s="2840" t="s">
        <v>2616</v>
      </c>
      <c r="D19" s="2841"/>
      <c r="E19" s="2835" t="s">
        <v>2617</v>
      </c>
      <c r="F19" s="2842"/>
      <c r="G19" s="2842"/>
    </row>
    <row r="20" spans="1:13" ht="19.5" customHeight="1">
      <c r="A20" s="3543" t="s">
        <v>2597</v>
      </c>
      <c r="B20" s="3536" t="s">
        <v>2618</v>
      </c>
      <c r="C20" s="3169" t="s">
        <v>2429</v>
      </c>
      <c r="D20" s="3169"/>
      <c r="E20" s="2845">
        <v>1</v>
      </c>
      <c r="F20" s="2846" t="s">
        <v>2430</v>
      </c>
      <c r="G20" s="2846"/>
    </row>
    <row r="21" spans="1:13" ht="19.5" customHeight="1">
      <c r="A21" s="3544"/>
      <c r="B21" s="3532"/>
      <c r="C21" s="2858" t="s">
        <v>2431</v>
      </c>
      <c r="D21" s="2858"/>
      <c r="E21" s="2849">
        <v>1</v>
      </c>
      <c r="F21" s="2846" t="s">
        <v>2432</v>
      </c>
      <c r="G21" s="2846"/>
    </row>
    <row r="22" spans="1:13" ht="19.5" customHeight="1">
      <c r="A22" s="3544"/>
      <c r="B22" s="3532"/>
      <c r="C22" s="2858" t="s">
        <v>2433</v>
      </c>
      <c r="D22" s="2858"/>
      <c r="E22" s="2849">
        <v>0.9</v>
      </c>
      <c r="F22" s="2846" t="s">
        <v>2434</v>
      </c>
      <c r="G22" s="2846"/>
    </row>
    <row r="23" spans="1:13" ht="19.5" customHeight="1">
      <c r="A23" s="3544"/>
      <c r="B23" s="3532"/>
      <c r="C23" s="2858" t="s">
        <v>2435</v>
      </c>
      <c r="D23" s="2858"/>
      <c r="E23" s="2849">
        <v>0.9</v>
      </c>
      <c r="F23" s="2846" t="s">
        <v>2436</v>
      </c>
      <c r="G23" s="2846"/>
    </row>
    <row r="24" spans="1:13" ht="19.5" customHeight="1">
      <c r="A24" s="3544"/>
      <c r="B24" s="3532"/>
      <c r="C24" s="2858" t="s">
        <v>2437</v>
      </c>
      <c r="D24" s="2858"/>
      <c r="E24" s="2849">
        <v>0.8</v>
      </c>
      <c r="F24" s="2846" t="s">
        <v>2438</v>
      </c>
      <c r="G24" s="2846"/>
    </row>
    <row r="25" spans="1:13" ht="19.5" customHeight="1">
      <c r="A25" s="3544"/>
      <c r="B25" s="3532"/>
      <c r="C25" s="2858" t="s">
        <v>2439</v>
      </c>
      <c r="D25" s="2858"/>
      <c r="E25" s="2849">
        <v>0.8</v>
      </c>
      <c r="F25" s="2846"/>
      <c r="G25" s="2846"/>
    </row>
    <row r="26" spans="1:13" ht="19.5" customHeight="1">
      <c r="A26" s="3544"/>
      <c r="B26" s="3532"/>
      <c r="C26" s="2858" t="s">
        <v>3396</v>
      </c>
      <c r="D26" s="2858"/>
      <c r="E26" s="2849">
        <v>0.43</v>
      </c>
      <c r="F26" s="2846"/>
      <c r="G26" s="2846"/>
    </row>
    <row r="27" spans="1:13" ht="19.5" customHeight="1" thickBot="1">
      <c r="A27" s="3545"/>
      <c r="B27" s="3537"/>
      <c r="C27" s="3165" t="s">
        <v>3397</v>
      </c>
      <c r="D27" s="3165"/>
      <c r="E27" s="2852">
        <f>E26*0.9</f>
        <v>0.38700000000000001</v>
      </c>
      <c r="F27" s="2846" t="s">
        <v>2440</v>
      </c>
      <c r="G27" s="2846"/>
    </row>
    <row r="28" spans="1:13" ht="19.5" customHeight="1" thickBot="1">
      <c r="A28" s="3164" t="s">
        <v>2619</v>
      </c>
      <c r="B28" s="3163" t="s">
        <v>2618</v>
      </c>
      <c r="C28" s="3166" t="s">
        <v>2620</v>
      </c>
      <c r="D28" s="3167"/>
      <c r="E28" s="3168">
        <v>1</v>
      </c>
      <c r="F28" s="2846" t="s">
        <v>2441</v>
      </c>
      <c r="G28" s="2846"/>
    </row>
    <row r="29" spans="1:13" ht="19.5" customHeight="1">
      <c r="A29" s="3538" t="s">
        <v>2621</v>
      </c>
      <c r="B29" s="3541" t="s">
        <v>2602</v>
      </c>
      <c r="C29" s="2843" t="s">
        <v>2442</v>
      </c>
      <c r="D29" s="2844"/>
      <c r="E29" s="2845">
        <v>1</v>
      </c>
      <c r="F29" s="2846" t="s">
        <v>2443</v>
      </c>
      <c r="G29" s="2846"/>
    </row>
    <row r="30" spans="1:13" ht="19.5" customHeight="1">
      <c r="A30" s="3539"/>
      <c r="B30" s="3535"/>
      <c r="C30" s="2847" t="s">
        <v>2444</v>
      </c>
      <c r="D30" s="2848"/>
      <c r="E30" s="2849">
        <v>1</v>
      </c>
      <c r="F30" s="2846" t="s">
        <v>2445</v>
      </c>
      <c r="G30" s="2846"/>
    </row>
    <row r="31" spans="1:13" ht="19.5" customHeight="1">
      <c r="A31" s="3539"/>
      <c r="B31" s="3535"/>
      <c r="C31" s="2847" t="s">
        <v>2446</v>
      </c>
      <c r="D31" s="2848"/>
      <c r="E31" s="2849">
        <v>0.8</v>
      </c>
      <c r="F31" s="2846" t="s">
        <v>2447</v>
      </c>
      <c r="G31" s="2846"/>
    </row>
    <row r="32" spans="1:13" ht="19.5" customHeight="1">
      <c r="A32" s="3539"/>
      <c r="B32" s="3535"/>
      <c r="C32" s="2847" t="s">
        <v>2448</v>
      </c>
      <c r="D32" s="2848"/>
      <c r="E32" s="2849">
        <v>0.8</v>
      </c>
      <c r="F32" s="2846" t="s">
        <v>2449</v>
      </c>
      <c r="G32" s="2846"/>
    </row>
    <row r="33" spans="1:7" ht="19.5" customHeight="1">
      <c r="A33" s="3539"/>
      <c r="B33" s="3535"/>
      <c r="C33" s="2847" t="s">
        <v>2450</v>
      </c>
      <c r="D33" s="2848"/>
      <c r="E33" s="2849">
        <v>0.8</v>
      </c>
      <c r="F33" s="2846" t="s">
        <v>2451</v>
      </c>
      <c r="G33" s="2846"/>
    </row>
    <row r="34" spans="1:7" ht="19.5" customHeight="1">
      <c r="A34" s="3539"/>
      <c r="B34" s="3535"/>
      <c r="C34" s="2847" t="s">
        <v>2452</v>
      </c>
      <c r="D34" s="2848"/>
      <c r="E34" s="2849">
        <v>0.7</v>
      </c>
      <c r="F34" s="2846" t="s">
        <v>2453</v>
      </c>
      <c r="G34" s="2846"/>
    </row>
    <row r="35" spans="1:7" ht="19.5" customHeight="1">
      <c r="A35" s="3539"/>
      <c r="B35" s="3535"/>
      <c r="C35" s="2847" t="s">
        <v>2454</v>
      </c>
      <c r="D35" s="2848"/>
      <c r="E35" s="2849">
        <v>0.8</v>
      </c>
      <c r="F35" s="2846" t="s">
        <v>2455</v>
      </c>
      <c r="G35" s="2846"/>
    </row>
    <row r="36" spans="1:7" ht="19.5" customHeight="1">
      <c r="A36" s="3539"/>
      <c r="B36" s="3535"/>
      <c r="C36" s="2847" t="s">
        <v>2456</v>
      </c>
      <c r="D36" s="2848"/>
      <c r="E36" s="2849">
        <v>0.6</v>
      </c>
      <c r="F36" s="2846" t="s">
        <v>2457</v>
      </c>
      <c r="G36" s="2846"/>
    </row>
    <row r="37" spans="1:7" ht="19.5" customHeight="1">
      <c r="A37" s="3539"/>
      <c r="B37" s="3535"/>
      <c r="C37" s="2847" t="s">
        <v>2458</v>
      </c>
      <c r="D37" s="2848"/>
      <c r="E37" s="2849">
        <v>0.2</v>
      </c>
      <c r="F37" s="2846" t="s">
        <v>2459</v>
      </c>
      <c r="G37" s="2846"/>
    </row>
    <row r="38" spans="1:7" ht="19.5" customHeight="1">
      <c r="A38" s="3539"/>
      <c r="B38" s="3535"/>
      <c r="C38" s="2847" t="s">
        <v>2460</v>
      </c>
      <c r="D38" s="2848"/>
      <c r="E38" s="2849">
        <v>0.2</v>
      </c>
      <c r="F38" s="2846" t="s">
        <v>2461</v>
      </c>
      <c r="G38" s="2846"/>
    </row>
    <row r="39" spans="1:7" ht="19.5" customHeight="1">
      <c r="A39" s="3539"/>
      <c r="B39" s="3533" t="s">
        <v>2622</v>
      </c>
      <c r="C39" s="2847" t="s">
        <v>2462</v>
      </c>
      <c r="D39" s="2848"/>
      <c r="E39" s="2849">
        <v>0.6</v>
      </c>
      <c r="F39" s="2846" t="s">
        <v>2463</v>
      </c>
      <c r="G39" s="2846"/>
    </row>
    <row r="40" spans="1:7" ht="19.5" customHeight="1">
      <c r="A40" s="3539"/>
      <c r="B40" s="3535"/>
      <c r="C40" s="2847" t="s">
        <v>2464</v>
      </c>
      <c r="D40" s="2848"/>
      <c r="E40" s="2849">
        <v>0.6</v>
      </c>
      <c r="F40" s="2846" t="s">
        <v>2465</v>
      </c>
      <c r="G40" s="2846"/>
    </row>
    <row r="41" spans="1:7" ht="19.5" customHeight="1" thickBot="1">
      <c r="A41" s="3540"/>
      <c r="B41" s="3542"/>
      <c r="C41" s="2850" t="s">
        <v>2466</v>
      </c>
      <c r="D41" s="2851"/>
      <c r="E41" s="2852">
        <v>0.6</v>
      </c>
      <c r="F41" s="2846" t="s">
        <v>2467</v>
      </c>
      <c r="G41" s="2846"/>
    </row>
    <row r="42" spans="1:7" ht="19.5" customHeight="1" thickBot="1">
      <c r="A42" s="2853" t="s">
        <v>2599</v>
      </c>
      <c r="B42" s="2854" t="s">
        <v>2599</v>
      </c>
      <c r="C42" s="2855" t="s">
        <v>2623</v>
      </c>
      <c r="D42" s="2856"/>
      <c r="E42" s="2857">
        <v>1</v>
      </c>
      <c r="F42" s="2846" t="s">
        <v>2468</v>
      </c>
      <c r="G42" s="2846"/>
    </row>
    <row r="43" spans="1:7" ht="19.5" customHeight="1">
      <c r="A43" s="3543" t="s">
        <v>2600</v>
      </c>
      <c r="B43" s="3541" t="s">
        <v>2624</v>
      </c>
      <c r="C43" s="2843" t="s">
        <v>2469</v>
      </c>
      <c r="D43" s="2844"/>
      <c r="E43" s="2845">
        <v>1</v>
      </c>
      <c r="F43" s="2846" t="s">
        <v>2470</v>
      </c>
      <c r="G43" s="2846"/>
    </row>
    <row r="44" spans="1:7" ht="19.5" customHeight="1">
      <c r="A44" s="3544"/>
      <c r="B44" s="3535"/>
      <c r="C44" s="2847" t="s">
        <v>2471</v>
      </c>
      <c r="D44" s="2848"/>
      <c r="E44" s="2849">
        <v>1</v>
      </c>
      <c r="F44" s="2846" t="s">
        <v>2472</v>
      </c>
      <c r="G44" s="2846"/>
    </row>
    <row r="45" spans="1:7" ht="19.5" customHeight="1">
      <c r="A45" s="3544"/>
      <c r="B45" s="3534"/>
      <c r="C45" s="2847" t="s">
        <v>2473</v>
      </c>
      <c r="D45" s="2848"/>
      <c r="E45" s="2849">
        <v>1.5</v>
      </c>
      <c r="F45" s="2846" t="s">
        <v>2474</v>
      </c>
      <c r="G45" s="2846"/>
    </row>
    <row r="46" spans="1:7" ht="19.5" customHeight="1">
      <c r="A46" s="3544"/>
      <c r="B46" s="2858" t="s">
        <v>2625</v>
      </c>
      <c r="C46" s="2847" t="s">
        <v>2626</v>
      </c>
      <c r="D46" s="2848"/>
      <c r="E46" s="2849">
        <v>2</v>
      </c>
      <c r="F46" s="2846" t="s">
        <v>2475</v>
      </c>
      <c r="G46" s="2846"/>
    </row>
    <row r="47" spans="1:7" ht="19.5" customHeight="1">
      <c r="A47" s="3544"/>
      <c r="B47" s="3533" t="s">
        <v>2627</v>
      </c>
      <c r="C47" s="2847" t="s">
        <v>2476</v>
      </c>
      <c r="D47" s="2848"/>
      <c r="E47" s="2849">
        <v>1</v>
      </c>
      <c r="F47" s="2846" t="s">
        <v>2477</v>
      </c>
      <c r="G47" s="2846"/>
    </row>
    <row r="48" spans="1:7" ht="19.5" customHeight="1">
      <c r="A48" s="3544"/>
      <c r="B48" s="3535"/>
      <c r="C48" s="2847" t="s">
        <v>2478</v>
      </c>
      <c r="D48" s="2848"/>
      <c r="E48" s="2849">
        <v>1</v>
      </c>
      <c r="F48" s="2846" t="s">
        <v>2479</v>
      </c>
      <c r="G48" s="2846"/>
    </row>
    <row r="49" spans="1:7" ht="19.5" customHeight="1">
      <c r="A49" s="3544"/>
      <c r="B49" s="3535"/>
      <c r="C49" s="2847" t="s">
        <v>2480</v>
      </c>
      <c r="D49" s="2848"/>
      <c r="E49" s="2849">
        <v>1</v>
      </c>
      <c r="F49" s="2846" t="s">
        <v>2481</v>
      </c>
      <c r="G49" s="2846"/>
    </row>
    <row r="50" spans="1:7" ht="19.5" customHeight="1">
      <c r="A50" s="3544"/>
      <c r="B50" s="3535"/>
      <c r="C50" s="2847" t="s">
        <v>2482</v>
      </c>
      <c r="D50" s="2848"/>
      <c r="E50" s="2849">
        <v>1</v>
      </c>
      <c r="F50" s="2846" t="s">
        <v>2483</v>
      </c>
      <c r="G50" s="2846"/>
    </row>
    <row r="51" spans="1:7" ht="19.5" customHeight="1">
      <c r="A51" s="3544"/>
      <c r="B51" s="3535"/>
      <c r="C51" s="2847" t="s">
        <v>2484</v>
      </c>
      <c r="D51" s="2848"/>
      <c r="E51" s="2849">
        <v>1</v>
      </c>
      <c r="F51" s="2846" t="s">
        <v>2485</v>
      </c>
      <c r="G51" s="2846"/>
    </row>
    <row r="52" spans="1:7" ht="19.5" customHeight="1">
      <c r="A52" s="3544"/>
      <c r="B52" s="3535"/>
      <c r="C52" s="2847" t="s">
        <v>2486</v>
      </c>
      <c r="D52" s="2848"/>
      <c r="E52" s="2849">
        <v>1</v>
      </c>
      <c r="F52" s="2846" t="s">
        <v>2487</v>
      </c>
      <c r="G52" s="2846"/>
    </row>
    <row r="53" spans="1:7" ht="19.5" customHeight="1" thickBot="1">
      <c r="A53" s="3545"/>
      <c r="B53" s="3542"/>
      <c r="C53" s="2850" t="s">
        <v>2488</v>
      </c>
      <c r="D53" s="2851"/>
      <c r="E53" s="2852">
        <v>1</v>
      </c>
      <c r="F53" s="2846" t="s">
        <v>2489</v>
      </c>
      <c r="G53" s="2846"/>
    </row>
    <row r="54" spans="1:7" ht="19.5" customHeight="1">
      <c r="A54" s="2859"/>
      <c r="B54" s="2859"/>
      <c r="C54" s="2859"/>
      <c r="D54" s="2859"/>
      <c r="E54" s="2859"/>
      <c r="F54" s="2859"/>
      <c r="G54" s="2859"/>
    </row>
    <row r="56" spans="1:7" ht="19.5" customHeight="1">
      <c r="A56" s="2860"/>
      <c r="B56" s="2832" t="s">
        <v>2628</v>
      </c>
      <c r="C56" s="2832" t="s">
        <v>2628</v>
      </c>
      <c r="D56" s="2832" t="s">
        <v>2628</v>
      </c>
      <c r="E56" s="2835" t="s">
        <v>2628</v>
      </c>
      <c r="F56" s="2835" t="s">
        <v>2629</v>
      </c>
      <c r="G56" s="2835" t="s">
        <v>2630</v>
      </c>
    </row>
    <row r="57" spans="1:7" ht="19.5" customHeight="1">
      <c r="A57" s="2861"/>
      <c r="B57" s="2835" t="s">
        <v>2597</v>
      </c>
      <c r="C57" s="2835" t="s">
        <v>2597</v>
      </c>
      <c r="D57" s="2835" t="s">
        <v>2597</v>
      </c>
      <c r="E57" s="2832" t="s">
        <v>2598</v>
      </c>
      <c r="F57" s="2832" t="s">
        <v>2600</v>
      </c>
      <c r="G57" s="2832" t="s">
        <v>2631</v>
      </c>
    </row>
    <row r="58" spans="1:7" ht="19.5" customHeight="1">
      <c r="A58" s="2862"/>
      <c r="B58" s="2832">
        <v>1</v>
      </c>
      <c r="C58" s="2832">
        <v>2</v>
      </c>
      <c r="D58" s="2832">
        <v>3</v>
      </c>
      <c r="E58" s="2863" t="s">
        <v>2632</v>
      </c>
      <c r="F58" s="2863" t="s">
        <v>2632</v>
      </c>
      <c r="G58" s="2863" t="s">
        <v>2632</v>
      </c>
    </row>
    <row r="59" spans="1:7" ht="19.5" customHeight="1">
      <c r="A59" s="2864" t="s">
        <v>2585</v>
      </c>
      <c r="B59" s="2832">
        <v>0.7</v>
      </c>
      <c r="C59" s="2832">
        <v>0.4</v>
      </c>
      <c r="D59" s="2832">
        <v>0.3</v>
      </c>
      <c r="E59" s="2863">
        <v>0.3</v>
      </c>
      <c r="F59" s="2832">
        <v>0.3</v>
      </c>
      <c r="G59" s="2832">
        <v>0.2</v>
      </c>
    </row>
    <row r="60" spans="1:7" ht="19.5" customHeight="1">
      <c r="A60" s="2864" t="s">
        <v>2586</v>
      </c>
      <c r="B60" s="2832">
        <v>0.7</v>
      </c>
      <c r="C60" s="2832">
        <v>0.4</v>
      </c>
      <c r="D60" s="2832">
        <v>0.3</v>
      </c>
      <c r="E60" s="2832">
        <v>0.3</v>
      </c>
      <c r="F60" s="2832">
        <v>0.3</v>
      </c>
      <c r="G60" s="2832">
        <v>0.2</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0.6</v>
      </c>
      <c r="C64" s="2832">
        <v>0.3</v>
      </c>
      <c r="D64" s="2832">
        <v>0.25</v>
      </c>
      <c r="E64" s="2832">
        <v>0.25</v>
      </c>
      <c r="F64" s="2832">
        <v>0.25</v>
      </c>
      <c r="G64" s="2832">
        <v>0.15</v>
      </c>
    </row>
    <row r="65" spans="1:7" ht="19.5" customHeight="1">
      <c r="A65" s="2864" t="s">
        <v>2591</v>
      </c>
      <c r="B65" s="2832">
        <v>0.6</v>
      </c>
      <c r="C65" s="2832">
        <v>0.3</v>
      </c>
      <c r="D65" s="2832">
        <v>0.25</v>
      </c>
      <c r="E65" s="2832">
        <v>0.25</v>
      </c>
      <c r="F65" s="2832">
        <v>0.25</v>
      </c>
      <c r="G65" s="2832">
        <v>0.15</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69" spans="1:7" ht="19.5" customHeight="1">
      <c r="A69" s="2864" t="s">
        <v>2595</v>
      </c>
      <c r="B69" s="2832">
        <v>0.5</v>
      </c>
      <c r="C69" s="2832">
        <v>0.2</v>
      </c>
      <c r="D69" s="2832">
        <v>0.2</v>
      </c>
      <c r="E69" s="2832">
        <v>0.2</v>
      </c>
      <c r="F69" s="2832">
        <v>0.2</v>
      </c>
      <c r="G69" s="2832">
        <v>0.1</v>
      </c>
    </row>
    <row r="70" spans="1:7" ht="19.5" customHeight="1">
      <c r="A70" s="2864" t="s">
        <v>2596</v>
      </c>
      <c r="B70" s="2832">
        <v>0.5</v>
      </c>
      <c r="C70" s="2832">
        <v>0.2</v>
      </c>
      <c r="D70" s="2832">
        <v>0.2</v>
      </c>
      <c r="E70" s="2832">
        <v>0.2</v>
      </c>
      <c r="F70" s="2832">
        <v>0.2</v>
      </c>
      <c r="G70" s="2832">
        <v>0.1</v>
      </c>
    </row>
    <row r="72" spans="1:7" ht="19.5" customHeight="1">
      <c r="A72" s="2846"/>
      <c r="B72" s="2865"/>
      <c r="C72" s="2865"/>
      <c r="D72" s="2865" t="s">
        <v>2633</v>
      </c>
      <c r="E72" s="2865"/>
      <c r="F72" s="2865"/>
    </row>
    <row r="73" spans="1:7" ht="19.5" customHeight="1">
      <c r="A73" s="2858" t="s">
        <v>2634</v>
      </c>
      <c r="B73" s="2858" t="s">
        <v>2635</v>
      </c>
      <c r="C73" s="2858" t="s">
        <v>2636</v>
      </c>
      <c r="D73" s="2858" t="s">
        <v>2637</v>
      </c>
      <c r="E73" s="2858" t="s">
        <v>2638</v>
      </c>
      <c r="F73" s="2858" t="s">
        <v>2639</v>
      </c>
    </row>
    <row r="74" spans="1:7" ht="13.5">
      <c r="A74" s="2858"/>
      <c r="B74" s="2858"/>
      <c r="C74" s="2858" t="s">
        <v>2640</v>
      </c>
      <c r="D74" s="2858"/>
      <c r="E74" s="2858" t="s">
        <v>2611</v>
      </c>
      <c r="F74" s="2858" t="s">
        <v>2611</v>
      </c>
    </row>
    <row r="75" spans="1:7" ht="13.5">
      <c r="A75" s="2858">
        <v>1</v>
      </c>
      <c r="B75" s="3533" t="s">
        <v>2641</v>
      </c>
      <c r="C75" s="2832" t="s">
        <v>2642</v>
      </c>
      <c r="D75" s="2832" t="s">
        <v>2643</v>
      </c>
      <c r="E75" s="2858">
        <v>0.2</v>
      </c>
      <c r="F75" s="2858">
        <v>25</v>
      </c>
    </row>
    <row r="76" spans="1:7" ht="24">
      <c r="A76" s="2858">
        <v>2</v>
      </c>
      <c r="B76" s="3535"/>
      <c r="C76" s="2832" t="s">
        <v>2644</v>
      </c>
      <c r="D76" s="2832" t="s">
        <v>2645</v>
      </c>
      <c r="E76" s="2858">
        <v>0.2</v>
      </c>
      <c r="F76" s="2858">
        <v>25</v>
      </c>
    </row>
    <row r="77" spans="1:7" ht="24">
      <c r="A77" s="2858">
        <v>3</v>
      </c>
      <c r="B77" s="3535"/>
      <c r="C77" s="2832" t="s">
        <v>2646</v>
      </c>
      <c r="D77" s="2832" t="s">
        <v>2647</v>
      </c>
      <c r="E77" s="2858">
        <v>0.2</v>
      </c>
      <c r="F77" s="2858">
        <v>25</v>
      </c>
    </row>
    <row r="78" spans="1:7" ht="13.5">
      <c r="A78" s="2858">
        <v>4</v>
      </c>
      <c r="B78" s="3535"/>
      <c r="C78" s="2832" t="s">
        <v>2648</v>
      </c>
      <c r="D78" s="2832" t="s">
        <v>2649</v>
      </c>
      <c r="E78" s="2858">
        <v>0.15</v>
      </c>
      <c r="F78" s="2858">
        <v>20</v>
      </c>
    </row>
    <row r="79" spans="1:7" ht="24">
      <c r="A79" s="2858">
        <v>5</v>
      </c>
      <c r="B79" s="3535"/>
      <c r="C79" s="2832" t="s">
        <v>2650</v>
      </c>
      <c r="D79" s="2832" t="s">
        <v>2651</v>
      </c>
      <c r="E79" s="2858">
        <v>0.15</v>
      </c>
      <c r="F79" s="2858">
        <v>20</v>
      </c>
    </row>
    <row r="80" spans="1:7" ht="24">
      <c r="A80" s="2858">
        <v>6</v>
      </c>
      <c r="B80" s="3535"/>
      <c r="C80" s="2832" t="s">
        <v>2652</v>
      </c>
      <c r="D80" s="2832" t="s">
        <v>2653</v>
      </c>
      <c r="E80" s="2858">
        <v>0.15</v>
      </c>
      <c r="F80" s="2858">
        <v>20</v>
      </c>
    </row>
    <row r="81" spans="1:6" ht="24">
      <c r="A81" s="2858">
        <v>7</v>
      </c>
      <c r="B81" s="3535"/>
      <c r="C81" s="2832" t="s">
        <v>2654</v>
      </c>
      <c r="D81" s="2832" t="s">
        <v>2655</v>
      </c>
      <c r="E81" s="2858">
        <v>0.15</v>
      </c>
      <c r="F81" s="2858">
        <v>20</v>
      </c>
    </row>
    <row r="82" spans="1:6" ht="24">
      <c r="A82" s="2858">
        <v>8</v>
      </c>
      <c r="B82" s="3535"/>
      <c r="C82" s="2832" t="s">
        <v>2656</v>
      </c>
      <c r="D82" s="2832" t="s">
        <v>2657</v>
      </c>
      <c r="E82" s="2858">
        <v>0.1</v>
      </c>
      <c r="F82" s="2858">
        <v>15</v>
      </c>
    </row>
    <row r="83" spans="1:6" ht="24">
      <c r="A83" s="2858">
        <v>9</v>
      </c>
      <c r="B83" s="3535"/>
      <c r="C83" s="2832" t="s">
        <v>2658</v>
      </c>
      <c r="D83" s="2832" t="s">
        <v>2659</v>
      </c>
      <c r="E83" s="2858">
        <v>0.1</v>
      </c>
      <c r="F83" s="2858">
        <v>15</v>
      </c>
    </row>
    <row r="84" spans="1:6" ht="24">
      <c r="A84" s="2858">
        <v>10</v>
      </c>
      <c r="B84" s="3535"/>
      <c r="C84" s="2832" t="s">
        <v>2660</v>
      </c>
      <c r="D84" s="2832" t="s">
        <v>2661</v>
      </c>
      <c r="E84" s="2858">
        <v>0.1</v>
      </c>
      <c r="F84" s="2858">
        <v>15</v>
      </c>
    </row>
    <row r="85" spans="1:6" ht="24">
      <c r="A85" s="2858">
        <v>11</v>
      </c>
      <c r="B85" s="3535"/>
      <c r="C85" s="2832" t="s">
        <v>2662</v>
      </c>
      <c r="D85" s="2832" t="s">
        <v>2663</v>
      </c>
      <c r="E85" s="2858">
        <v>0.1</v>
      </c>
      <c r="F85" s="2858">
        <v>15</v>
      </c>
    </row>
    <row r="86" spans="1:6" ht="24">
      <c r="A86" s="2858">
        <v>12</v>
      </c>
      <c r="B86" s="3535"/>
      <c r="C86" s="2832" t="s">
        <v>2664</v>
      </c>
      <c r="D86" s="2832" t="s">
        <v>2665</v>
      </c>
      <c r="E86" s="2858">
        <v>0.1</v>
      </c>
      <c r="F86" s="2858">
        <v>15</v>
      </c>
    </row>
    <row r="87" spans="1:6" ht="13.5">
      <c r="A87" s="2858">
        <v>13</v>
      </c>
      <c r="B87" s="3535"/>
      <c r="C87" s="2832" t="s">
        <v>2666</v>
      </c>
      <c r="D87" s="2832" t="s">
        <v>2667</v>
      </c>
      <c r="E87" s="2858">
        <v>0.1</v>
      </c>
      <c r="F87" s="2858">
        <v>15</v>
      </c>
    </row>
    <row r="88" spans="1:6" ht="13.5">
      <c r="A88" s="2858">
        <v>14</v>
      </c>
      <c r="B88" s="3535"/>
      <c r="C88" s="2832" t="s">
        <v>2668</v>
      </c>
      <c r="D88" s="2832" t="s">
        <v>2669</v>
      </c>
      <c r="E88" s="2858">
        <v>0.1</v>
      </c>
      <c r="F88" s="2858">
        <v>15</v>
      </c>
    </row>
    <row r="89" spans="1:6" ht="13.5">
      <c r="A89" s="2858">
        <v>15</v>
      </c>
      <c r="B89" s="3535"/>
      <c r="C89" s="2832" t="s">
        <v>2670</v>
      </c>
      <c r="D89" s="2832" t="s">
        <v>2671</v>
      </c>
      <c r="E89" s="2858">
        <v>0.1</v>
      </c>
      <c r="F89" s="2858">
        <v>15</v>
      </c>
    </row>
    <row r="90" spans="1:6" ht="24">
      <c r="A90" s="2858">
        <v>16</v>
      </c>
      <c r="B90" s="3535"/>
      <c r="C90" s="2832" t="s">
        <v>2672</v>
      </c>
      <c r="D90" s="2832" t="s">
        <v>2673</v>
      </c>
      <c r="E90" s="2858">
        <v>0.1</v>
      </c>
      <c r="F90" s="2858">
        <v>15</v>
      </c>
    </row>
    <row r="91" spans="1:6" ht="24">
      <c r="A91" s="2858">
        <v>17</v>
      </c>
      <c r="B91" s="3534"/>
      <c r="C91" s="2832" t="s">
        <v>2674</v>
      </c>
      <c r="D91" s="2832" t="s">
        <v>2675</v>
      </c>
      <c r="E91" s="2858">
        <v>0.1</v>
      </c>
      <c r="F91" s="2858">
        <v>15</v>
      </c>
    </row>
    <row r="92" spans="1:6" ht="13.5">
      <c r="A92" s="2858">
        <v>18</v>
      </c>
      <c r="B92" s="3533" t="s">
        <v>2676</v>
      </c>
      <c r="C92" s="2832" t="s">
        <v>2677</v>
      </c>
      <c r="D92" s="2832" t="s">
        <v>2678</v>
      </c>
      <c r="E92" s="2858">
        <v>0.2</v>
      </c>
      <c r="F92" s="2858">
        <v>25</v>
      </c>
    </row>
    <row r="93" spans="1:6" ht="24">
      <c r="A93" s="2858">
        <v>19</v>
      </c>
      <c r="B93" s="3535"/>
      <c r="C93" s="2832" t="s">
        <v>2679</v>
      </c>
      <c r="D93" s="2832" t="s">
        <v>2680</v>
      </c>
      <c r="E93" s="2858">
        <v>0.2</v>
      </c>
      <c r="F93" s="2858">
        <v>25</v>
      </c>
    </row>
    <row r="94" spans="1:6" ht="13.5">
      <c r="A94" s="2858">
        <v>20</v>
      </c>
      <c r="B94" s="3535"/>
      <c r="C94" s="2832" t="s">
        <v>2681</v>
      </c>
      <c r="D94" s="2832" t="s">
        <v>2682</v>
      </c>
      <c r="E94" s="2858">
        <v>0.15</v>
      </c>
      <c r="F94" s="2858">
        <v>20</v>
      </c>
    </row>
    <row r="95" spans="1:6" ht="13.5">
      <c r="A95" s="2858">
        <v>21</v>
      </c>
      <c r="B95" s="3535"/>
      <c r="C95" s="2832" t="s">
        <v>2683</v>
      </c>
      <c r="D95" s="2832" t="s">
        <v>2684</v>
      </c>
      <c r="E95" s="2858">
        <v>0.15</v>
      </c>
      <c r="F95" s="2858">
        <v>20</v>
      </c>
    </row>
    <row r="96" spans="1:6" ht="13.5">
      <c r="A96" s="2858">
        <v>22</v>
      </c>
      <c r="B96" s="3535"/>
      <c r="C96" s="2832" t="s">
        <v>2685</v>
      </c>
      <c r="D96" s="2832" t="s">
        <v>2686</v>
      </c>
      <c r="E96" s="2858">
        <v>0.15</v>
      </c>
      <c r="F96" s="2858">
        <v>20</v>
      </c>
    </row>
    <row r="97" spans="1:6" ht="36">
      <c r="A97" s="2858">
        <v>23</v>
      </c>
      <c r="B97" s="3535"/>
      <c r="C97" s="2832" t="s">
        <v>2687</v>
      </c>
      <c r="D97" s="2832" t="s">
        <v>2688</v>
      </c>
      <c r="E97" s="2858">
        <v>0.15</v>
      </c>
      <c r="F97" s="2858">
        <v>20</v>
      </c>
    </row>
    <row r="98" spans="1:6" ht="13.5">
      <c r="A98" s="2858">
        <v>24</v>
      </c>
      <c r="B98" s="3535"/>
      <c r="C98" s="2832" t="s">
        <v>2689</v>
      </c>
      <c r="D98" s="2832" t="s">
        <v>2690</v>
      </c>
      <c r="E98" s="2858">
        <v>0.1</v>
      </c>
      <c r="F98" s="2858">
        <v>15</v>
      </c>
    </row>
    <row r="99" spans="1:6" ht="13.5">
      <c r="A99" s="2858">
        <v>25</v>
      </c>
      <c r="B99" s="3535"/>
      <c r="C99" s="2832" t="s">
        <v>2691</v>
      </c>
      <c r="D99" s="2832" t="s">
        <v>2692</v>
      </c>
      <c r="E99" s="2858">
        <v>0.1</v>
      </c>
      <c r="F99" s="2858">
        <v>15</v>
      </c>
    </row>
    <row r="100" spans="1:6" ht="24">
      <c r="A100" s="2858">
        <v>26</v>
      </c>
      <c r="B100" s="3535"/>
      <c r="C100" s="2832" t="s">
        <v>2693</v>
      </c>
      <c r="D100" s="2832" t="s">
        <v>2694</v>
      </c>
      <c r="E100" s="2858">
        <v>0.1</v>
      </c>
      <c r="F100" s="2858">
        <v>15</v>
      </c>
    </row>
    <row r="101" spans="1:6" ht="24">
      <c r="A101" s="2858">
        <v>27</v>
      </c>
      <c r="B101" s="3535"/>
      <c r="C101" s="2832" t="s">
        <v>2695</v>
      </c>
      <c r="D101" s="2832" t="s">
        <v>2696</v>
      </c>
      <c r="E101" s="2858">
        <v>0.1</v>
      </c>
      <c r="F101" s="2858">
        <v>15</v>
      </c>
    </row>
    <row r="102" spans="1:6" ht="13.5">
      <c r="A102" s="2858">
        <v>28</v>
      </c>
      <c r="B102" s="3535"/>
      <c r="C102" s="2832" t="s">
        <v>2697</v>
      </c>
      <c r="D102" s="2832" t="s">
        <v>2698</v>
      </c>
      <c r="E102" s="2858">
        <v>0.1</v>
      </c>
      <c r="F102" s="2858">
        <v>15</v>
      </c>
    </row>
    <row r="103" spans="1:6" ht="13.5">
      <c r="A103" s="2858">
        <v>29</v>
      </c>
      <c r="B103" s="3535"/>
      <c r="C103" s="2832" t="s">
        <v>2699</v>
      </c>
      <c r="D103" s="2832" t="s">
        <v>2700</v>
      </c>
      <c r="E103" s="2858">
        <v>0.1</v>
      </c>
      <c r="F103" s="2858">
        <v>15</v>
      </c>
    </row>
    <row r="104" spans="1:6" ht="13.5">
      <c r="A104" s="2858">
        <v>30</v>
      </c>
      <c r="B104" s="3535"/>
      <c r="C104" s="2832" t="s">
        <v>2701</v>
      </c>
      <c r="D104" s="2832" t="s">
        <v>2702</v>
      </c>
      <c r="E104" s="2858">
        <v>0.1</v>
      </c>
      <c r="F104" s="2858">
        <v>15</v>
      </c>
    </row>
    <row r="105" spans="1:6" ht="24">
      <c r="A105" s="2858">
        <v>31</v>
      </c>
      <c r="B105" s="3535"/>
      <c r="C105" s="2832" t="s">
        <v>2703</v>
      </c>
      <c r="D105" s="2832" t="s">
        <v>2704</v>
      </c>
      <c r="E105" s="2858">
        <v>0.1</v>
      </c>
      <c r="F105" s="2858">
        <v>15</v>
      </c>
    </row>
    <row r="106" spans="1:6" ht="24">
      <c r="A106" s="2858">
        <v>32</v>
      </c>
      <c r="B106" s="3535"/>
      <c r="C106" s="2832" t="s">
        <v>2705</v>
      </c>
      <c r="D106" s="2832" t="s">
        <v>2706</v>
      </c>
      <c r="E106" s="2858">
        <v>0.1</v>
      </c>
      <c r="F106" s="2858">
        <v>15</v>
      </c>
    </row>
    <row r="107" spans="1:6" ht="24">
      <c r="A107" s="2858">
        <v>33</v>
      </c>
      <c r="B107" s="3535"/>
      <c r="C107" s="2832" t="s">
        <v>2707</v>
      </c>
      <c r="D107" s="2832" t="s">
        <v>2708</v>
      </c>
      <c r="E107" s="2858">
        <v>0.1</v>
      </c>
      <c r="F107" s="2858">
        <v>15</v>
      </c>
    </row>
    <row r="108" spans="1:6" ht="24">
      <c r="A108" s="2858">
        <v>34</v>
      </c>
      <c r="B108" s="3534"/>
      <c r="C108" s="2832" t="s">
        <v>2709</v>
      </c>
      <c r="D108" s="2832" t="s">
        <v>2710</v>
      </c>
      <c r="E108" s="2858">
        <v>0.1</v>
      </c>
      <c r="F108" s="2858">
        <v>15</v>
      </c>
    </row>
    <row r="109" spans="1:6" ht="24">
      <c r="A109" s="2858">
        <v>35</v>
      </c>
      <c r="B109" s="3533" t="s">
        <v>2711</v>
      </c>
      <c r="C109" s="2858" t="s">
        <v>2712</v>
      </c>
      <c r="D109" s="2832" t="s">
        <v>2713</v>
      </c>
      <c r="E109" s="2858">
        <v>0.15</v>
      </c>
      <c r="F109" s="2858">
        <v>20</v>
      </c>
    </row>
    <row r="110" spans="1:6" ht="13.5">
      <c r="A110" s="2858">
        <v>36</v>
      </c>
      <c r="B110" s="3535"/>
      <c r="C110" s="2858" t="s">
        <v>2714</v>
      </c>
      <c r="D110" s="2832" t="s">
        <v>2715</v>
      </c>
      <c r="E110" s="2858">
        <v>0.15</v>
      </c>
      <c r="F110" s="2858">
        <v>20</v>
      </c>
    </row>
    <row r="111" spans="1:6" ht="13.5">
      <c r="A111" s="2858">
        <v>37</v>
      </c>
      <c r="B111" s="3535"/>
      <c r="C111" s="2858" t="s">
        <v>2716</v>
      </c>
      <c r="D111" s="2832" t="s">
        <v>2717</v>
      </c>
      <c r="E111" s="2858">
        <v>0.15</v>
      </c>
      <c r="F111" s="2858">
        <v>20</v>
      </c>
    </row>
    <row r="112" spans="1:6" ht="13.5">
      <c r="A112" s="2858">
        <v>38</v>
      </c>
      <c r="B112" s="3535"/>
      <c r="C112" s="2858" t="s">
        <v>2718</v>
      </c>
      <c r="D112" s="2832" t="s">
        <v>2719</v>
      </c>
      <c r="E112" s="2858">
        <v>0.1</v>
      </c>
      <c r="F112" s="2858">
        <v>15</v>
      </c>
    </row>
    <row r="113" spans="1:6" ht="24">
      <c r="A113" s="2858">
        <v>39</v>
      </c>
      <c r="B113" s="3535"/>
      <c r="C113" s="2858" t="s">
        <v>2720</v>
      </c>
      <c r="D113" s="2832" t="s">
        <v>2721</v>
      </c>
      <c r="E113" s="2858">
        <v>0.1</v>
      </c>
      <c r="F113" s="2858">
        <v>15</v>
      </c>
    </row>
    <row r="114" spans="1:6" ht="24">
      <c r="A114" s="2858">
        <v>40</v>
      </c>
      <c r="B114" s="3534"/>
      <c r="C114" s="2858" t="s">
        <v>2722</v>
      </c>
      <c r="D114" s="2832" t="s">
        <v>2723</v>
      </c>
      <c r="E114" s="2858">
        <v>0.1</v>
      </c>
      <c r="F114" s="2858">
        <v>15</v>
      </c>
    </row>
    <row r="115" spans="1:6" ht="13.5">
      <c r="A115" s="2858">
        <v>41</v>
      </c>
      <c r="B115" s="3532" t="s">
        <v>2724</v>
      </c>
      <c r="C115" s="2858" t="s">
        <v>2725</v>
      </c>
      <c r="D115" s="2832" t="s">
        <v>2726</v>
      </c>
      <c r="E115" s="2858">
        <v>0.1</v>
      </c>
      <c r="F115" s="2858">
        <v>15</v>
      </c>
    </row>
    <row r="116" spans="1:6" ht="13.5">
      <c r="A116" s="2858">
        <v>42</v>
      </c>
      <c r="B116" s="3532"/>
      <c r="C116" s="2858" t="s">
        <v>2727</v>
      </c>
      <c r="D116" s="2832" t="s">
        <v>2728</v>
      </c>
      <c r="E116" s="2858">
        <v>0.1</v>
      </c>
      <c r="F116" s="2858">
        <v>15</v>
      </c>
    </row>
    <row r="117" spans="1:6" ht="24">
      <c r="A117" s="2858">
        <v>43</v>
      </c>
      <c r="B117" s="3532"/>
      <c r="C117" s="2858" t="s">
        <v>2729</v>
      </c>
      <c r="D117" s="2832" t="s">
        <v>2730</v>
      </c>
      <c r="E117" s="2858">
        <v>0.1</v>
      </c>
      <c r="F117" s="2858">
        <v>15</v>
      </c>
    </row>
    <row r="118" spans="1:6" ht="13.5">
      <c r="A118" s="2858">
        <v>44</v>
      </c>
      <c r="B118" s="3533" t="s">
        <v>2731</v>
      </c>
      <c r="C118" s="2858" t="s">
        <v>2732</v>
      </c>
      <c r="D118" s="2832" t="s">
        <v>2733</v>
      </c>
      <c r="E118" s="2858">
        <v>0.1</v>
      </c>
      <c r="F118" s="2858">
        <v>15</v>
      </c>
    </row>
    <row r="119" spans="1:6" ht="24">
      <c r="A119" s="2858">
        <v>45</v>
      </c>
      <c r="B119" s="3534"/>
      <c r="C119" s="2832" t="s">
        <v>2734</v>
      </c>
      <c r="D119" s="2832" t="s">
        <v>2735</v>
      </c>
      <c r="E119" s="2858">
        <v>0.1</v>
      </c>
      <c r="F119" s="2858">
        <v>15</v>
      </c>
    </row>
    <row r="120" spans="1:6" ht="24">
      <c r="A120" s="2858">
        <v>46</v>
      </c>
      <c r="B120" s="3533" t="s">
        <v>2736</v>
      </c>
      <c r="C120" s="2858" t="s">
        <v>2737</v>
      </c>
      <c r="D120" s="2832" t="s">
        <v>2738</v>
      </c>
      <c r="E120" s="2858">
        <v>0.1</v>
      </c>
      <c r="F120" s="2858">
        <v>15</v>
      </c>
    </row>
    <row r="121" spans="1:6" ht="24">
      <c r="A121" s="2858">
        <v>47</v>
      </c>
      <c r="B121" s="3534"/>
      <c r="C121" s="2858" t="s">
        <v>2739</v>
      </c>
      <c r="D121" s="2832" t="s">
        <v>2740</v>
      </c>
      <c r="E121" s="2858">
        <v>0.1</v>
      </c>
      <c r="F121" s="2858">
        <v>15</v>
      </c>
    </row>
    <row r="122" spans="1:6" ht="13.5">
      <c r="A122" s="2858">
        <v>48</v>
      </c>
      <c r="B122" s="3533" t="s">
        <v>2741</v>
      </c>
      <c r="C122" s="2858" t="s">
        <v>2742</v>
      </c>
      <c r="D122" s="2832" t="s">
        <v>2743</v>
      </c>
      <c r="E122" s="2858">
        <v>0.1</v>
      </c>
      <c r="F122" s="2858">
        <v>15</v>
      </c>
    </row>
    <row r="123" spans="1:6" ht="13.5">
      <c r="A123" s="2858">
        <v>49</v>
      </c>
      <c r="B123" s="3534"/>
      <c r="C123" s="2858" t="s">
        <v>2744</v>
      </c>
      <c r="D123" s="2832" t="s">
        <v>2745</v>
      </c>
      <c r="E123" s="2858">
        <v>0.1</v>
      </c>
      <c r="F123" s="2858">
        <v>15</v>
      </c>
    </row>
    <row r="124" spans="1:6" ht="24">
      <c r="A124" s="2858">
        <v>50</v>
      </c>
      <c r="B124" s="3532" t="s">
        <v>2746</v>
      </c>
      <c r="C124" s="2858" t="s">
        <v>2747</v>
      </c>
      <c r="D124" s="2832" t="s">
        <v>2748</v>
      </c>
      <c r="E124" s="2858">
        <v>0.1</v>
      </c>
      <c r="F124" s="2858">
        <v>15</v>
      </c>
    </row>
    <row r="125" spans="1:6" ht="24">
      <c r="A125" s="2858">
        <v>51</v>
      </c>
      <c r="B125" s="3532"/>
      <c r="C125" s="2858" t="s">
        <v>2749</v>
      </c>
      <c r="D125" s="2832" t="s">
        <v>2750</v>
      </c>
      <c r="E125" s="2858">
        <v>0.1</v>
      </c>
      <c r="F125" s="2858">
        <v>15</v>
      </c>
    </row>
    <row r="126" spans="1:6" ht="24">
      <c r="A126" s="2858">
        <v>52</v>
      </c>
      <c r="B126" s="3532" t="s">
        <v>2751</v>
      </c>
      <c r="C126" s="2858" t="s">
        <v>2752</v>
      </c>
      <c r="D126" s="2832" t="s">
        <v>2753</v>
      </c>
      <c r="E126" s="2858">
        <v>0.1</v>
      </c>
      <c r="F126" s="2858">
        <v>15</v>
      </c>
    </row>
    <row r="127" spans="1:6" ht="24">
      <c r="A127" s="2858">
        <v>53</v>
      </c>
      <c r="B127" s="3532"/>
      <c r="C127" s="2858" t="s">
        <v>2754</v>
      </c>
      <c r="D127" s="2832" t="s">
        <v>2755</v>
      </c>
      <c r="E127" s="2858">
        <v>0.1</v>
      </c>
      <c r="F127" s="2858">
        <v>15</v>
      </c>
    </row>
    <row r="128" spans="1:6" ht="13.5">
      <c r="A128" s="2858">
        <v>54</v>
      </c>
      <c r="B128" s="2858" t="s">
        <v>2756</v>
      </c>
      <c r="C128" s="2858" t="s">
        <v>2757</v>
      </c>
      <c r="D128" s="2832" t="s">
        <v>2758</v>
      </c>
      <c r="E128" s="2858">
        <v>0.1</v>
      </c>
      <c r="F128" s="2858">
        <v>15</v>
      </c>
    </row>
    <row r="129" spans="1:6" ht="13.5">
      <c r="A129" s="2858">
        <v>55</v>
      </c>
      <c r="B129" s="3532" t="s">
        <v>2759</v>
      </c>
      <c r="C129" s="2858" t="s">
        <v>2760</v>
      </c>
      <c r="D129" s="2832" t="s">
        <v>2761</v>
      </c>
      <c r="E129" s="2858">
        <v>0.1</v>
      </c>
      <c r="F129" s="2858">
        <v>15</v>
      </c>
    </row>
    <row r="130" spans="1:6" ht="13.5">
      <c r="A130" s="2858">
        <v>56</v>
      </c>
      <c r="B130" s="3532"/>
      <c r="C130" s="2858" t="s">
        <v>2762</v>
      </c>
      <c r="D130" s="2832" t="s">
        <v>2763</v>
      </c>
      <c r="E130" s="2858">
        <v>0.1</v>
      </c>
      <c r="F130" s="2858">
        <v>15</v>
      </c>
    </row>
    <row r="131" spans="1:6" ht="24">
      <c r="A131" s="2858">
        <v>57</v>
      </c>
      <c r="B131" s="3532"/>
      <c r="C131" s="2858" t="s">
        <v>2764</v>
      </c>
      <c r="D131" s="2832" t="s">
        <v>2765</v>
      </c>
      <c r="E131" s="2858">
        <v>0.1</v>
      </c>
      <c r="F131" s="2858">
        <v>15</v>
      </c>
    </row>
    <row r="132" spans="1:6" ht="24">
      <c r="A132" s="2858">
        <v>58</v>
      </c>
      <c r="B132" s="3532" t="s">
        <v>2766</v>
      </c>
      <c r="C132" s="2858" t="s">
        <v>2767</v>
      </c>
      <c r="D132" s="2832" t="s">
        <v>2768</v>
      </c>
      <c r="E132" s="2858">
        <v>0.1</v>
      </c>
      <c r="F132" s="2858">
        <v>15</v>
      </c>
    </row>
    <row r="133" spans="1:6" ht="13.5">
      <c r="A133" s="2858">
        <v>59</v>
      </c>
      <c r="B133" s="3532"/>
      <c r="C133" s="2858" t="s">
        <v>2769</v>
      </c>
      <c r="D133" s="2832" t="s">
        <v>2770</v>
      </c>
      <c r="E133" s="2858">
        <v>0.1</v>
      </c>
      <c r="F133" s="2858">
        <v>15</v>
      </c>
    </row>
    <row r="134" spans="1:6" ht="13.5">
      <c r="A134" s="2858">
        <v>60</v>
      </c>
      <c r="B134" s="3533" t="s">
        <v>2771</v>
      </c>
      <c r="C134" s="2858" t="s">
        <v>2772</v>
      </c>
      <c r="D134" s="2832" t="s">
        <v>2773</v>
      </c>
      <c r="E134" s="2858">
        <v>0.1</v>
      </c>
      <c r="F134" s="2858">
        <v>15</v>
      </c>
    </row>
    <row r="135" spans="1:6" ht="13.5">
      <c r="A135" s="2858">
        <v>61</v>
      </c>
      <c r="B135" s="3534"/>
      <c r="C135" s="2858" t="s">
        <v>2774</v>
      </c>
      <c r="D135" s="2832" t="s">
        <v>2775</v>
      </c>
      <c r="E135" s="2858">
        <v>0.1</v>
      </c>
      <c r="F135" s="2858">
        <v>15</v>
      </c>
    </row>
    <row r="136" spans="1:6" ht="24">
      <c r="A136" s="2858">
        <v>62</v>
      </c>
      <c r="B136" s="2858" t="s">
        <v>2776</v>
      </c>
      <c r="C136" s="2858" t="s">
        <v>2777</v>
      </c>
      <c r="D136" s="2832" t="s">
        <v>2778</v>
      </c>
      <c r="E136" s="2858">
        <v>0.1</v>
      </c>
      <c r="F136" s="2858">
        <v>15</v>
      </c>
    </row>
    <row r="137" spans="1:6" ht="13.5">
      <c r="A137" s="2858">
        <v>63</v>
      </c>
      <c r="B137" s="3532" t="s">
        <v>2779</v>
      </c>
      <c r="C137" s="2858" t="s">
        <v>2780</v>
      </c>
      <c r="D137" s="2832" t="s">
        <v>2781</v>
      </c>
      <c r="E137" s="2858">
        <v>0.1</v>
      </c>
      <c r="F137" s="2858">
        <v>15</v>
      </c>
    </row>
    <row r="138" spans="1:6" ht="13.5">
      <c r="A138" s="2858">
        <v>64</v>
      </c>
      <c r="B138" s="3532"/>
      <c r="C138" s="2858" t="s">
        <v>2782</v>
      </c>
      <c r="D138" s="2832" t="s">
        <v>2783</v>
      </c>
      <c r="E138" s="2858">
        <v>0.1</v>
      </c>
      <c r="F138" s="2858">
        <v>15</v>
      </c>
    </row>
    <row r="139" spans="1:6" ht="13.5">
      <c r="A139" s="2858">
        <v>65</v>
      </c>
      <c r="B139" s="2858" t="s">
        <v>2784</v>
      </c>
      <c r="C139" s="2858" t="s">
        <v>2785</v>
      </c>
      <c r="D139" s="2832" t="s">
        <v>2786</v>
      </c>
      <c r="E139" s="2858">
        <v>0.1</v>
      </c>
      <c r="F139" s="2858">
        <v>15</v>
      </c>
    </row>
    <row r="140" spans="1:6" ht="13.5">
      <c r="A140" s="2858"/>
      <c r="B140" s="2858"/>
      <c r="C140" s="2858"/>
      <c r="D140" s="2858"/>
      <c r="E140" s="2858" t="s">
        <v>2787</v>
      </c>
      <c r="F140" s="2858"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2788</v>
      </c>
      <c r="B1" s="2866"/>
      <c r="C1" s="2866"/>
      <c r="D1" s="2866"/>
      <c r="E1" s="2866"/>
      <c r="F1" s="2866"/>
      <c r="G1" s="2866"/>
      <c r="H1" s="2866"/>
      <c r="I1" s="2866"/>
      <c r="J1" s="2866"/>
      <c r="K1" s="2866"/>
      <c r="L1" s="2866"/>
      <c r="M1" s="2866"/>
      <c r="N1" s="707"/>
    </row>
    <row r="2" spans="1:20">
      <c r="A2" s="2867" t="s">
        <v>2789</v>
      </c>
      <c r="B2" s="2868" t="s">
        <v>2585</v>
      </c>
      <c r="C2" s="2868" t="s">
        <v>2586</v>
      </c>
      <c r="D2" s="2868" t="s">
        <v>2587</v>
      </c>
      <c r="E2" s="2868" t="s">
        <v>2588</v>
      </c>
      <c r="F2" s="2868" t="s">
        <v>2589</v>
      </c>
      <c r="G2" s="2868" t="s">
        <v>2590</v>
      </c>
      <c r="H2" s="2869" t="s">
        <v>2591</v>
      </c>
      <c r="I2" s="2869" t="s">
        <v>2592</v>
      </c>
      <c r="J2" s="2870" t="s">
        <v>2593</v>
      </c>
      <c r="K2" s="2870" t="s">
        <v>2594</v>
      </c>
      <c r="L2" s="2870" t="s">
        <v>2595</v>
      </c>
      <c r="M2" s="2871" t="s">
        <v>2596</v>
      </c>
      <c r="Q2" s="2881" t="s">
        <v>2794</v>
      </c>
      <c r="R2" s="2881" t="s">
        <v>2795</v>
      </c>
      <c r="S2" s="2881" t="s">
        <v>2796</v>
      </c>
      <c r="T2" s="2881" t="s">
        <v>2797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2790</v>
      </c>
      <c r="B93" s="2866"/>
      <c r="C93" s="2866"/>
      <c r="D93" s="2866"/>
      <c r="E93" s="2866"/>
      <c r="F93" s="2866"/>
      <c r="G93" s="2866"/>
      <c r="H93" s="2866"/>
      <c r="I93" s="2866"/>
      <c r="J93" s="2866"/>
      <c r="K93" s="2866"/>
      <c r="L93" s="2866"/>
      <c r="M93" s="2866"/>
    </row>
    <row r="94" spans="1:20">
      <c r="A94" s="2867" t="s">
        <v>2789</v>
      </c>
      <c r="B94" s="2868" t="s">
        <v>2585</v>
      </c>
      <c r="C94" s="2868" t="s">
        <v>2586</v>
      </c>
      <c r="D94" s="2868" t="s">
        <v>2587</v>
      </c>
      <c r="E94" s="2868" t="s">
        <v>2588</v>
      </c>
      <c r="F94" s="2868" t="s">
        <v>2589</v>
      </c>
      <c r="G94" s="2868" t="s">
        <v>2590</v>
      </c>
      <c r="H94" s="2869" t="s">
        <v>2591</v>
      </c>
      <c r="I94" s="2869" t="s">
        <v>2592</v>
      </c>
      <c r="J94" s="2870" t="s">
        <v>2593</v>
      </c>
      <c r="K94" s="2870" t="s">
        <v>2594</v>
      </c>
      <c r="L94" s="2870" t="s">
        <v>2595</v>
      </c>
      <c r="M94" s="2871" t="s">
        <v>2596</v>
      </c>
      <c r="N94">
        <f>SUMPRODUCT((A95:A184=ROUNDDOWN(基准地价修正!G3,1))*(B94:M94=基准地价修正!G2)*(B95:M184))</f>
        <v>0</v>
      </c>
      <c r="Q94" s="2881" t="s">
        <v>2794</v>
      </c>
      <c r="R94" s="2881" t="s">
        <v>2795</v>
      </c>
      <c r="S94" s="2881" t="s">
        <v>2796</v>
      </c>
      <c r="T94" s="2881" t="s">
        <v>2797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2791</v>
      </c>
      <c r="B185" s="2866"/>
      <c r="C185" s="2866"/>
      <c r="D185" s="2866"/>
      <c r="E185" s="2866"/>
      <c r="F185" s="2866"/>
      <c r="G185" s="2866"/>
      <c r="H185" s="2866"/>
      <c r="I185" s="2866"/>
      <c r="J185" s="2866"/>
      <c r="K185" s="2866"/>
      <c r="L185" s="2866"/>
      <c r="M185" s="2866"/>
    </row>
    <row r="186" spans="1:20">
      <c r="A186" s="2867" t="s">
        <v>2789</v>
      </c>
      <c r="B186" s="2868" t="s">
        <v>2585</v>
      </c>
      <c r="C186" s="2868" t="s">
        <v>2586</v>
      </c>
      <c r="D186" s="2868" t="s">
        <v>2587</v>
      </c>
      <c r="E186" s="2868" t="s">
        <v>2588</v>
      </c>
      <c r="F186" s="2868" t="s">
        <v>2589</v>
      </c>
      <c r="G186" s="2868" t="s">
        <v>2590</v>
      </c>
      <c r="H186" s="2869" t="s">
        <v>2591</v>
      </c>
      <c r="I186" s="2869" t="s">
        <v>2592</v>
      </c>
      <c r="J186" s="2870" t="s">
        <v>2593</v>
      </c>
      <c r="K186" s="2870" t="s">
        <v>2594</v>
      </c>
      <c r="L186" s="2870" t="s">
        <v>2595</v>
      </c>
      <c r="M186" s="2871" t="s">
        <v>2596</v>
      </c>
      <c r="Q186" s="2881" t="s">
        <v>2794</v>
      </c>
      <c r="R186" s="2881" t="s">
        <v>2795</v>
      </c>
      <c r="S186" s="2881" t="s">
        <v>2796</v>
      </c>
      <c r="T186" s="2881" t="s">
        <v>2797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2792</v>
      </c>
      <c r="B277" s="2866"/>
      <c r="C277" s="2866"/>
      <c r="D277" s="2866"/>
      <c r="E277" s="2866"/>
      <c r="F277" s="2866"/>
      <c r="G277" s="2866"/>
      <c r="H277" s="2866"/>
      <c r="I277" s="2866"/>
      <c r="J277" s="2866"/>
      <c r="K277" s="2866"/>
      <c r="L277" s="2866"/>
      <c r="M277" s="2866"/>
    </row>
    <row r="278" spans="1:21">
      <c r="A278" s="2867" t="s">
        <v>2789</v>
      </c>
      <c r="B278" s="2868" t="s">
        <v>2585</v>
      </c>
      <c r="C278" s="2868" t="s">
        <v>2586</v>
      </c>
      <c r="D278" s="2868" t="s">
        <v>2587</v>
      </c>
      <c r="E278" s="2868" t="s">
        <v>2588</v>
      </c>
      <c r="F278" s="2868" t="s">
        <v>2589</v>
      </c>
      <c r="G278" s="2868" t="s">
        <v>2590</v>
      </c>
      <c r="H278" s="2869" t="s">
        <v>2591</v>
      </c>
      <c r="I278" s="2869" t="s">
        <v>2592</v>
      </c>
      <c r="J278" s="2870" t="s">
        <v>2593</v>
      </c>
      <c r="K278" s="2870" t="s">
        <v>2594</v>
      </c>
      <c r="L278" s="2870" t="s">
        <v>2595</v>
      </c>
      <c r="M278" s="2871" t="s">
        <v>2596</v>
      </c>
      <c r="Q278" s="2881" t="s">
        <v>2794</v>
      </c>
      <c r="R278" s="2881" t="s">
        <v>2795</v>
      </c>
      <c r="S278" s="2881" t="s">
        <v>2798</v>
      </c>
      <c r="T278" s="2881" t="s">
        <v>2799</v>
      </c>
      <c r="U278" s="2881" t="s">
        <v>2797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2793</v>
      </c>
      <c r="B369" s="2879"/>
      <c r="C369" s="2879"/>
      <c r="D369" s="2879"/>
      <c r="E369" s="2879"/>
      <c r="F369" s="2879"/>
      <c r="G369" s="2879"/>
      <c r="H369" s="2879"/>
      <c r="I369" s="2879"/>
      <c r="J369" s="2879"/>
      <c r="K369" s="2879"/>
      <c r="L369" s="2879"/>
      <c r="M369" s="2879"/>
    </row>
    <row r="370" spans="1:20">
      <c r="A370" s="2867" t="s">
        <v>2789</v>
      </c>
      <c r="B370" s="2868" t="s">
        <v>2585</v>
      </c>
      <c r="C370" s="2868" t="s">
        <v>2586</v>
      </c>
      <c r="D370" s="2868" t="s">
        <v>2587</v>
      </c>
      <c r="E370" s="2868" t="s">
        <v>2588</v>
      </c>
      <c r="F370" s="2868" t="s">
        <v>2589</v>
      </c>
      <c r="G370" s="2868" t="s">
        <v>2590</v>
      </c>
      <c r="H370" s="2869" t="s">
        <v>2591</v>
      </c>
      <c r="I370" s="2869" t="s">
        <v>2592</v>
      </c>
      <c r="J370" s="2870" t="s">
        <v>2593</v>
      </c>
      <c r="K370" s="2870" t="s">
        <v>2594</v>
      </c>
      <c r="L370" s="2870" t="s">
        <v>2595</v>
      </c>
      <c r="M370" s="2871" t="s">
        <v>2596</v>
      </c>
      <c r="N370">
        <f>SUMPRODUCT((A371:A460=ROUNDDOWN(基准地价修正!G3,1))*(B370:M370=基准地价修正!G2)*(B371:M460))</f>
        <v>0</v>
      </c>
      <c r="Q370" s="2881" t="s">
        <v>2794</v>
      </c>
      <c r="R370" s="2881" t="s">
        <v>2795</v>
      </c>
      <c r="S370" s="2881" t="s">
        <v>2796</v>
      </c>
      <c r="T370" s="2881" t="s">
        <v>2797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100967</v>
      </c>
      <c r="C2" s="2" t="s">
        <v>106</v>
      </c>
      <c r="D2" s="191"/>
      <c r="E2" s="191"/>
      <c r="F2" s="191"/>
      <c r="G2" s="191"/>
    </row>
    <row r="3" spans="1:7" s="192" customFormat="1" ht="18" customHeight="1" thickBot="1">
      <c r="A3" s="195" t="s">
        <v>58</v>
      </c>
      <c r="B3" s="196">
        <f ca="1">ROUND(B2*10000/'数据-汇总表'!E3,0)</f>
        <v>5154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2248</v>
      </c>
      <c r="D9" s="795">
        <f>'数据-汇总表'!E5</f>
        <v>140502.72</v>
      </c>
      <c r="E9" s="217">
        <f>'数据-取费表'!B27</f>
        <v>160</v>
      </c>
      <c r="F9" s="213"/>
      <c r="G9" s="218"/>
    </row>
    <row r="10" spans="1:7" s="206" customFormat="1" ht="13.5" customHeight="1">
      <c r="A10" s="733" t="s">
        <v>356</v>
      </c>
      <c r="B10" s="216" t="s">
        <v>67</v>
      </c>
      <c r="C10" s="217">
        <f>ROUND(D10*E10/10000,0)</f>
        <v>1108</v>
      </c>
      <c r="D10" s="795">
        <f>'数据-汇总表'!E6</f>
        <v>55386.109999999986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2938</v>
      </c>
      <c r="D19" s="204">
        <f>'数据-汇总表'!E3</f>
        <v>195888.83</v>
      </c>
      <c r="E19" s="203">
        <f>'数据-取费表'!B31</f>
        <v>150</v>
      </c>
      <c r="F19" s="223"/>
      <c r="G19" s="1" t="s">
        <v>436</v>
      </c>
    </row>
    <row r="20" spans="1:7" s="206" customFormat="1" ht="13.5" customHeight="1">
      <c r="A20" s="731" t="s">
        <v>419</v>
      </c>
      <c r="B20" s="202" t="s">
        <v>77</v>
      </c>
      <c r="C20" s="224">
        <f>ROUND((C5+C19)*F20,0)</f>
        <v>471</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1168</v>
      </c>
      <c r="D22" s="227">
        <f ca="1">C26</f>
        <v>5.0000000000000001E-4</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144</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1201</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1201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28493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58467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50823</v>
      </c>
      <c r="D34" s="209"/>
      <c r="E34" s="212"/>
      <c r="F34" s="249">
        <f>IF('数据-取费表'!B24=0,1,'数据-取费表'!N16)</f>
        <v>0.55000000000000004</v>
      </c>
      <c r="G34" s="211" t="s">
        <v>89</v>
      </c>
    </row>
    <row r="35" spans="1:7" ht="13.5" customHeight="1">
      <c r="A35" s="734" t="s">
        <v>351</v>
      </c>
      <c r="B35" s="207" t="s">
        <v>33</v>
      </c>
      <c r="C35" s="212">
        <f>ROUND(C34*F35,0)</f>
        <v>2541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1932</v>
      </c>
      <c r="D36" s="212"/>
      <c r="E36" s="212"/>
      <c r="F36" s="251">
        <f>'数据-取费表'!B34</f>
        <v>0.05</v>
      </c>
      <c r="G36" s="252" t="s">
        <v>35</v>
      </c>
    </row>
    <row r="37" spans="1:7" s="250" customFormat="1" ht="13.5" customHeight="1">
      <c r="A37" s="734" t="s">
        <v>353</v>
      </c>
      <c r="B37" s="207" t="s">
        <v>91</v>
      </c>
      <c r="C37" s="241">
        <f>ROUND(E37*D37*F34/10000,0)</f>
        <v>2155</v>
      </c>
      <c r="D37" s="209">
        <f>'数据-汇总表'!E3</f>
        <v>195888.83</v>
      </c>
      <c r="E37" s="241">
        <f>'数据-取费表'!B35</f>
        <v>200</v>
      </c>
      <c r="F37" s="251"/>
      <c r="G37" s="253" t="s">
        <v>92</v>
      </c>
    </row>
    <row r="38" spans="1:7" ht="13.5" customHeight="1">
      <c r="A38" s="734" t="s">
        <v>354</v>
      </c>
      <c r="B38" s="207" t="s">
        <v>36</v>
      </c>
      <c r="C38" s="212">
        <f>ROUND(C34*F38,0)</f>
        <v>1016</v>
      </c>
      <c r="D38" s="212"/>
      <c r="E38" s="212"/>
      <c r="F38" s="251">
        <f>'数据-取费表'!B36</f>
        <v>0.02</v>
      </c>
      <c r="G38" s="211" t="s">
        <v>90</v>
      </c>
    </row>
    <row r="39" spans="1:7" s="206" customFormat="1" ht="13.5" customHeight="1">
      <c r="A39" s="731" t="s">
        <v>338</v>
      </c>
      <c r="B39" s="202" t="s">
        <v>77</v>
      </c>
      <c r="C39" s="224">
        <f>ROUND(C33*F20,0)</f>
        <v>1169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1447</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1419</v>
      </c>
      <c r="D42" s="230"/>
      <c r="E42" s="230"/>
      <c r="F42" s="231"/>
      <c r="G42" s="3405" t="s">
        <v>94</v>
      </c>
    </row>
    <row r="43" spans="1:7" ht="13.5" customHeight="1">
      <c r="A43" s="734" t="s">
        <v>347</v>
      </c>
      <c r="B43" s="207" t="s">
        <v>426</v>
      </c>
      <c r="C43" s="230">
        <f ca="1">ROUND(IF('数据-取费表'!B22&lt;=1,C39*F22*'数据-取费表'!B21/2,C39*(POWER((1+F22),'数据-取费表'!B21/2)-1)),0)</f>
        <v>28</v>
      </c>
      <c r="D43" s="230"/>
      <c r="E43" s="230"/>
      <c r="F43" s="231"/>
      <c r="G43" s="3406"/>
    </row>
    <row r="44" spans="1:7" ht="13.5" customHeight="1">
      <c r="A44" s="734" t="s">
        <v>348</v>
      </c>
      <c r="B44" s="207" t="s">
        <v>428</v>
      </c>
      <c r="C44" s="230">
        <f ca="1">ROUND(IF('数据-取费表'!B22&lt;=1,C40*F22*'数据-取费表'!B21/2,C40*(POWER((1+F22),'数据-取费表'!B21/2)-1)),4)</f>
        <v>5.0000000000000001E-4</v>
      </c>
      <c r="D44" s="230"/>
      <c r="E44" s="230"/>
      <c r="F44" s="231"/>
      <c r="G44" s="3407"/>
    </row>
    <row r="45" spans="1:7" s="206" customFormat="1" ht="13.5" customHeight="1">
      <c r="A45" s="731" t="s">
        <v>341</v>
      </c>
      <c r="B45" s="236" t="s">
        <v>85</v>
      </c>
      <c r="C45" s="237">
        <f>C46</f>
        <v>5964</v>
      </c>
      <c r="D45" s="227">
        <f>C47</f>
        <v>2E-3</v>
      </c>
      <c r="E45" s="228" t="s">
        <v>102</v>
      </c>
      <c r="F45" s="238"/>
      <c r="G45" s="239" t="s">
        <v>434</v>
      </c>
    </row>
    <row r="46" spans="1:7" s="206" customFormat="1" ht="13.5" customHeight="1">
      <c r="A46" s="734" t="s">
        <v>349</v>
      </c>
      <c r="B46" s="240" t="s">
        <v>427</v>
      </c>
      <c r="C46" s="241">
        <f>ROUND((C33+C39)*F27,0)</f>
        <v>5964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72474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72474</v>
      </c>
      <c r="D51" s="224"/>
      <c r="E51" s="224"/>
      <c r="F51" s="256"/>
      <c r="G51" s="226" t="s">
        <v>37</v>
      </c>
    </row>
    <row r="52" spans="1:7" s="200" customFormat="1" ht="16.5" thickBot="1">
      <c r="A52" s="257" t="s">
        <v>38</v>
      </c>
      <c r="B52" s="258"/>
      <c r="C52" s="259">
        <f ca="1">C31+C51</f>
        <v>100967</v>
      </c>
      <c r="D52" s="258"/>
      <c r="E52" s="258"/>
      <c r="F52" s="258"/>
      <c r="G52" s="260"/>
    </row>
    <row r="55" spans="1:7" ht="15">
      <c r="B55" s="262" t="s">
        <v>39</v>
      </c>
      <c r="C55" s="263"/>
    </row>
    <row r="56" spans="1:7">
      <c r="B56" s="265" t="s">
        <v>40</v>
      </c>
      <c r="C56" s="266">
        <f ca="1">ROUND(C51/C52,3)</f>
        <v>0.71799999999999997</v>
      </c>
    </row>
    <row r="57" spans="1:7">
      <c r="B57" s="265" t="s">
        <v>41</v>
      </c>
      <c r="C57" s="267">
        <f ca="1">1-C56</f>
        <v>0.28200000000000003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46" t="s">
        <v>3171</v>
      </c>
      <c r="B1" s="3546"/>
    </row>
    <row r="2" spans="1:7" ht="14.25" thickBot="1">
      <c r="A2" s="2969"/>
      <c r="B2" s="2969"/>
    </row>
    <row r="3" spans="1:7" ht="14.25" thickBot="1">
      <c r="A3" s="2969"/>
      <c r="B3" s="2969"/>
      <c r="C3" s="2970" t="s">
        <v>2801</v>
      </c>
      <c r="D3" s="2970" t="s">
        <v>2857</v>
      </c>
      <c r="E3" s="2970" t="s">
        <v>2803</v>
      </c>
      <c r="F3" s="2970" t="s">
        <v>2858</v>
      </c>
      <c r="G3" s="2970" t="s">
        <v>2621</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47" t="s">
        <v>3222</v>
      </c>
      <c r="B1" s="3547"/>
      <c r="C1" s="3547"/>
      <c r="D1" s="3547"/>
      <c r="E1" s="3547"/>
      <c r="F1" s="3548"/>
    </row>
    <row r="2" spans="1:6" ht="14.25">
      <c r="A2" s="3003" t="s">
        <v>3223</v>
      </c>
    </row>
    <row r="3" spans="1:6" ht="14.25">
      <c r="A3" s="3003" t="s">
        <v>3224</v>
      </c>
      <c r="F3" s="3004" t="s">
        <v>3225</v>
      </c>
    </row>
    <row r="4" spans="1:6">
      <c r="A4" s="3005" t="s">
        <v>672</v>
      </c>
      <c r="B4" s="3005" t="s">
        <v>673</v>
      </c>
      <c r="C4" s="3005" t="s">
        <v>21</v>
      </c>
      <c r="D4" s="3005" t="s">
        <v>674</v>
      </c>
      <c r="E4" s="3005" t="s">
        <v>3</v>
      </c>
      <c r="F4" s="3005" t="s">
        <v>3226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3" sqref="G33: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2" t="s">
        <v>452</v>
      </c>
      <c r="C1" s="3552"/>
      <c r="D1" s="3552"/>
      <c r="E1" s="3552"/>
      <c r="F1" s="3552"/>
      <c r="G1" s="3451" t="s">
        <v>453</v>
      </c>
      <c r="H1" s="3451"/>
      <c r="I1" s="3451"/>
      <c r="J1" s="3451"/>
      <c r="K1" s="3451"/>
      <c r="L1" s="3451"/>
      <c r="N1" s="3451" t="s">
        <v>454</v>
      </c>
      <c r="O1" s="3451"/>
      <c r="P1" s="3451"/>
      <c r="Q1" s="3451"/>
      <c r="S1" s="3451" t="s">
        <v>455</v>
      </c>
      <c r="T1" s="3451"/>
      <c r="U1" s="3451"/>
      <c r="V1" s="3451"/>
      <c r="X1" s="3450" t="s">
        <v>456</v>
      </c>
      <c r="Y1" s="3451"/>
      <c r="Z1" s="3451"/>
      <c r="AA1" s="3451"/>
      <c r="AB1" s="3451"/>
      <c r="AD1" s="3450" t="s">
        <v>457</v>
      </c>
      <c r="AE1" s="3451"/>
      <c r="AF1" s="3451"/>
      <c r="AG1" s="3451"/>
      <c r="AH1" s="345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5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5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5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5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5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3" sqref="G33: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0" t="s">
        <v>2829</v>
      </c>
      <c r="B1" s="3560"/>
      <c r="C1" s="3560"/>
      <c r="D1" s="3560"/>
      <c r="E1" s="3560"/>
      <c r="F1" s="3560"/>
      <c r="G1" s="3561"/>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558" t="s">
        <v>2856</v>
      </c>
      <c r="B3" s="2945"/>
      <c r="C3" s="2946" t="s">
        <v>2801</v>
      </c>
      <c r="D3" s="2946" t="s">
        <v>2857</v>
      </c>
      <c r="E3" s="2946" t="s">
        <v>2803</v>
      </c>
      <c r="F3" s="2946" t="s">
        <v>2858</v>
      </c>
      <c r="G3" s="2946" t="s">
        <v>2621</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559"/>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3" sqref="G33: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45962</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928</v>
      </c>
      <c r="B2" s="3223" t="s">
        <v>929</v>
      </c>
      <c r="C2" s="3223" t="s">
        <v>930</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18"/>
      <c r="B3" s="3218"/>
      <c r="C3" s="3218"/>
      <c r="D3" s="801" t="s">
        <v>925</v>
      </c>
      <c r="E3" s="801" t="s">
        <v>931</v>
      </c>
      <c r="F3" s="801" t="s">
        <v>925</v>
      </c>
      <c r="G3" s="801" t="s">
        <v>926</v>
      </c>
      <c r="H3" s="801" t="s">
        <v>925</v>
      </c>
      <c r="I3" s="801" t="s">
        <v>926</v>
      </c>
    </row>
    <row r="4" spans="1:9" ht="15">
      <c r="A4" s="1403" t="str">
        <f>项目基本情况!S2</f>
        <v>北京市房地产</v>
      </c>
      <c r="B4" s="801">
        <f>项目基本情况!C17</f>
        <v>195888.83</v>
      </c>
      <c r="C4" s="801">
        <f>项目基本情况!C18</f>
        <v>61673.46</v>
      </c>
      <c r="D4" s="801">
        <f ca="1">结果表!D118</f>
        <v>231345</v>
      </c>
      <c r="E4" s="801">
        <f ca="1">结果表!E118</f>
        <v>11810</v>
      </c>
      <c r="F4" s="801">
        <f ca="1">结果表!F118</f>
        <v>72656</v>
      </c>
      <c r="G4" s="801">
        <f ca="1">结果表!G118</f>
        <v>3709</v>
      </c>
      <c r="H4" s="801">
        <f ca="1">结果表!H118</f>
        <v>304001</v>
      </c>
      <c r="I4" s="801">
        <f ca="1">结果表!I118</f>
        <v>15519</v>
      </c>
    </row>
    <row r="5" spans="1:9" ht="30" customHeight="1">
      <c r="A5" s="3218" t="s">
        <v>927</v>
      </c>
      <c r="B5" s="3218"/>
      <c r="C5" s="3218"/>
      <c r="D5" s="3218" t="str">
        <f ca="1">结果表!D119</f>
        <v>贰拾叁亿壹仟叁佰肆拾伍万元整</v>
      </c>
      <c r="E5" s="3218"/>
      <c r="F5" s="3218" t="str">
        <f ca="1">结果表!F119</f>
        <v>柒亿贰仟陆佰伍拾陆万元整</v>
      </c>
      <c r="G5" s="3218"/>
      <c r="H5" s="3218" t="str">
        <f ca="1">结果表!H119</f>
        <v>叁拾亿肆仟零壹万元整</v>
      </c>
      <c r="I5" s="3218"/>
    </row>
    <row r="6" spans="1:9" ht="15.75">
      <c r="A6" s="3217" t="str">
        <f>结果表!A120</f>
        <v>估价师知悉的法定优先受偿款</v>
      </c>
      <c r="B6" s="3217"/>
      <c r="C6" s="3217"/>
      <c r="D6" s="3217">
        <f>结果表!D120</f>
        <v>0</v>
      </c>
      <c r="E6" s="3217"/>
      <c r="F6" s="3217"/>
      <c r="G6" s="3217"/>
      <c r="H6" s="3217"/>
      <c r="I6" s="3217"/>
    </row>
    <row r="7" spans="1:9" ht="15">
      <c r="A7" s="3218" t="s">
        <v>927</v>
      </c>
      <c r="B7" s="3218"/>
      <c r="C7" s="3218"/>
      <c r="D7" s="3219" t="str">
        <f>结果表!D121</f>
        <v>零元整</v>
      </c>
      <c r="E7" s="3220"/>
      <c r="F7" s="3220"/>
      <c r="G7" s="3220"/>
      <c r="H7" s="3220"/>
      <c r="I7" s="3221"/>
    </row>
    <row r="8" spans="1:9" ht="15.75">
      <c r="A8" s="3217" t="str">
        <f>结果表!A122</f>
        <v>房地产抵押价值</v>
      </c>
      <c r="B8" s="3217"/>
      <c r="C8" s="3217"/>
      <c r="D8" s="3217">
        <f ca="1">结果表!D122</f>
        <v>304001</v>
      </c>
      <c r="E8" s="3217"/>
      <c r="F8" s="3217"/>
      <c r="G8" s="3217"/>
      <c r="H8" s="3217"/>
      <c r="I8" s="3217"/>
    </row>
    <row r="9" spans="1:9" ht="15">
      <c r="A9" s="3218" t="s">
        <v>927</v>
      </c>
      <c r="B9" s="3218"/>
      <c r="C9" s="3218"/>
      <c r="D9" s="3218" t="str">
        <f ca="1">结果表!D123</f>
        <v>叁拾亿肆仟零壹万元整</v>
      </c>
      <c r="E9" s="3218"/>
      <c r="F9" s="3218"/>
      <c r="G9" s="3218"/>
      <c r="H9" s="3218"/>
      <c r="I9" s="3218"/>
    </row>
    <row r="10" spans="1:9" ht="15.75">
      <c r="A10" s="3217" t="str">
        <f>结果表!A124</f>
        <v/>
      </c>
      <c r="B10" s="3217"/>
      <c r="C10" s="3217"/>
      <c r="D10" s="3217" t="str">
        <f>结果表!D124</f>
        <v>——</v>
      </c>
      <c r="E10" s="3217"/>
      <c r="F10" s="3217"/>
      <c r="G10" s="3217"/>
      <c r="H10" s="3217"/>
      <c r="I10" s="3217"/>
    </row>
    <row r="11" spans="1:9" ht="15">
      <c r="A11" s="3218" t="s">
        <v>927</v>
      </c>
      <c r="B11" s="3218"/>
      <c r="C11" s="3218"/>
      <c r="D11" s="3218" t="e">
        <f>结果表!D125</f>
        <v>#VALUE!</v>
      </c>
      <c r="E11" s="3218"/>
      <c r="F11" s="3218"/>
      <c r="G11" s="3218"/>
      <c r="H11" s="3218"/>
      <c r="I11" s="3218"/>
    </row>
    <row r="12" spans="1:9" ht="15.75">
      <c r="A12" s="3217" t="str">
        <f>结果表!A126</f>
        <v/>
      </c>
      <c r="B12" s="3217"/>
      <c r="C12" s="3217"/>
      <c r="D12" s="3217" t="str">
        <f>结果表!D126</f>
        <v>——</v>
      </c>
      <c r="E12" s="3217"/>
      <c r="F12" s="3217"/>
      <c r="G12" s="3217"/>
      <c r="H12" s="3217"/>
      <c r="I12" s="3217"/>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0" t="s">
        <v>949</v>
      </c>
      <c r="B1" s="3230"/>
      <c r="C1" s="3230"/>
      <c r="D1" s="3230"/>
    </row>
    <row r="2" spans="1:4" ht="18">
      <c r="A2" s="3231" t="s">
        <v>933</v>
      </c>
      <c r="B2" s="3231"/>
      <c r="C2" s="3231"/>
      <c r="D2" s="323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1" t="s">
        <v>939</v>
      </c>
      <c r="B6" s="3231"/>
      <c r="C6" s="3231"/>
      <c r="D6" s="323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2"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943</v>
      </c>
      <c r="B16" s="3226"/>
      <c r="C16" s="3226"/>
      <c r="D16" s="3226"/>
    </row>
    <row r="17" spans="1:4" ht="144" customHeight="1">
      <c r="A17" s="3226" t="s">
        <v>944</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8" t="s">
        <v>956</v>
      </c>
      <c r="B15" s="3233" t="s">
        <v>109</v>
      </c>
      <c r="C15" s="3234"/>
    </row>
    <row r="16" spans="1:7" ht="13.5">
      <c r="A16" s="3239"/>
      <c r="B16" s="3233" t="s">
        <v>42</v>
      </c>
      <c r="C16" s="3234"/>
    </row>
    <row r="17" spans="1:3" ht="13.5">
      <c r="A17" s="3239"/>
      <c r="B17" s="3236" t="s">
        <v>957</v>
      </c>
      <c r="C17" s="1429" t="s">
        <v>956</v>
      </c>
    </row>
    <row r="18" spans="1:3" ht="13.5">
      <c r="A18" s="3239"/>
      <c r="B18" s="3236"/>
      <c r="C18" s="1429" t="s">
        <v>958</v>
      </c>
    </row>
    <row r="19" spans="1:3" ht="13.5">
      <c r="A19" s="3239"/>
      <c r="B19" s="3236"/>
      <c r="C19" s="1429" t="s">
        <v>959</v>
      </c>
    </row>
    <row r="20" spans="1:3" ht="13.5">
      <c r="A20" s="3240"/>
      <c r="B20" s="3235" t="s">
        <v>960</v>
      </c>
      <c r="C20" s="3234"/>
    </row>
    <row r="21" spans="1:3" ht="13.5">
      <c r="A21" s="1430" t="s">
        <v>961</v>
      </c>
      <c r="B21" s="1431"/>
      <c r="C21" s="1432"/>
    </row>
    <row r="22" spans="1:3" ht="13.5">
      <c r="A22" s="3237" t="s">
        <v>962</v>
      </c>
      <c r="B22" s="3235" t="s">
        <v>963</v>
      </c>
      <c r="C22" s="3234"/>
    </row>
    <row r="23" spans="1:3" ht="13.5">
      <c r="A23" s="3237"/>
      <c r="B23" s="3235" t="s">
        <v>964</v>
      </c>
      <c r="C23" s="3234"/>
    </row>
    <row r="24" spans="1:3" ht="13.5">
      <c r="A24" s="3237"/>
      <c r="B24" s="3235" t="s">
        <v>965</v>
      </c>
      <c r="C24" s="3234"/>
    </row>
    <row r="25" spans="1:3" ht="13.5">
      <c r="A25" s="3237"/>
      <c r="B25" s="3236" t="s">
        <v>966</v>
      </c>
      <c r="C25" s="1429" t="s">
        <v>967</v>
      </c>
    </row>
    <row r="26" spans="1:3" ht="13.5">
      <c r="A26" s="3237"/>
      <c r="B26" s="3236"/>
      <c r="C26" s="1429" t="s">
        <v>968</v>
      </c>
    </row>
    <row r="27" spans="1:3" ht="13.5">
      <c r="A27" s="3237"/>
      <c r="B27" s="3236"/>
      <c r="C27" s="1429" t="s">
        <v>969</v>
      </c>
    </row>
    <row r="28" spans="1:3" ht="13.5">
      <c r="A28" s="3237"/>
      <c r="B28" s="3236"/>
      <c r="C28" s="1429" t="s">
        <v>970</v>
      </c>
    </row>
    <row r="29" spans="1:3" ht="13.5">
      <c r="A29" s="3237"/>
      <c r="B29" s="3236"/>
      <c r="C29" s="1429" t="s">
        <v>971</v>
      </c>
    </row>
    <row r="30" spans="1:3" ht="13.5">
      <c r="A30" s="3237"/>
      <c r="B30" s="3236"/>
      <c r="C30" s="1429" t="s">
        <v>972</v>
      </c>
    </row>
    <row r="31" spans="1:3" ht="13.5">
      <c r="A31" s="3237"/>
      <c r="B31" s="3236"/>
      <c r="C31" s="1429" t="s">
        <v>973</v>
      </c>
    </row>
    <row r="32" spans="1:3" ht="13.5">
      <c r="A32" s="3237"/>
      <c r="B32" s="3236"/>
      <c r="C32" s="1429" t="s">
        <v>974</v>
      </c>
    </row>
    <row r="33" spans="1:3" ht="13.5">
      <c r="A33" s="3237"/>
      <c r="B33" s="323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46017</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1" t="s">
        <v>2159</v>
      </c>
      <c r="B17" s="3241"/>
      <c r="C17" s="3241"/>
      <c r="D17" s="3241"/>
      <c r="E17" s="3241"/>
      <c r="F17" s="3241"/>
      <c r="G17" s="3241"/>
      <c r="H17" s="3241"/>
    </row>
    <row r="18" spans="1:8" ht="24" customHeight="1">
      <c r="A18" s="3242" t="s">
        <v>2160</v>
      </c>
      <c r="B18" s="3242"/>
      <c r="C18" s="3242"/>
      <c r="D18" s="2160"/>
      <c r="E18" s="3243" t="s">
        <v>2161</v>
      </c>
      <c r="F18" s="3242"/>
      <c r="G18" s="324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2025-12-26T07:33:00Z</dcterms:modified>
</cp:coreProperties>
</file>