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51" i="34" l="1"/>
  <c r="I48" i="34"/>
  <c r="G48" i="34"/>
  <c r="E48" i="34"/>
  <c r="K53" i="34"/>
  <c r="B53" i="34"/>
  <c r="I37" i="34"/>
  <c r="G37" i="34"/>
  <c r="E37" i="34"/>
  <c r="C37" i="34"/>
  <c r="C34" i="34"/>
  <c r="I7" i="34"/>
  <c r="G7" i="34"/>
  <c r="E7" i="34"/>
  <c r="G19" i="6"/>
  <c r="F19" i="6"/>
  <c r="K13" i="3"/>
  <c r="I13" i="3"/>
  <c r="L9" i="80"/>
  <c r="K9" i="80"/>
  <c r="J9" i="80"/>
  <c r="J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X29"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E39" i="71" s="1"/>
  <c r="E40" i="71"/>
  <c r="U40" i="71" s="1"/>
  <c r="AA37" i="71"/>
  <c r="N68" i="71"/>
  <c r="C30" i="71"/>
  <c r="AB29"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D42" i="71"/>
  <c r="C47" i="71"/>
  <c r="D47" i="71" s="1"/>
  <c r="D46"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V49" i="34" s="1"/>
  <c r="T48" i="34"/>
  <c r="T49" i="34" s="1"/>
  <c r="R48" i="34"/>
  <c r="R49" i="34" s="1"/>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84"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U44" i="34"/>
  <c r="AC39" i="34"/>
  <c r="W41" i="34"/>
  <c r="AC42" i="34"/>
  <c r="U39" i="34"/>
  <c r="AB41" i="34"/>
  <c r="AA45" i="34"/>
  <c r="AA25" i="34"/>
  <c r="U28" i="34"/>
  <c r="S17" i="34"/>
  <c r="AA29" i="34"/>
  <c r="U27"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A19" i="34"/>
  <c r="S19" i="34"/>
  <c r="AA36" i="34"/>
  <c r="AA8" i="34"/>
  <c r="S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L48" i="15"/>
  <c r="B7" i="76"/>
  <c r="F16" i="67"/>
  <c r="M29" i="67"/>
  <c r="F40" i="67"/>
  <c r="F42" i="67"/>
  <c r="C19" i="9"/>
  <c r="E10" i="76"/>
  <c r="F16" i="15"/>
  <c r="M9" i="67"/>
  <c r="F37" i="15"/>
  <c r="F9" i="67"/>
  <c r="D3" i="73"/>
  <c r="F36" i="15"/>
  <c r="F13" i="15"/>
  <c r="AO13" i="1"/>
  <c r="D6" i="73"/>
  <c r="E2" i="68"/>
  <c r="M8" i="15"/>
  <c r="D20" i="9"/>
  <c r="F7" i="15"/>
  <c r="E13" i="76"/>
  <c r="F7" i="67"/>
  <c r="M24" i="67"/>
  <c r="D7" i="73"/>
  <c r="F4" i="73"/>
  <c r="L47" i="67"/>
  <c r="B8" i="76"/>
  <c r="E11" i="76"/>
  <c r="C20" i="9"/>
  <c r="M22" i="15"/>
  <c r="F43" i="15"/>
  <c r="M6" i="67"/>
  <c r="F9" i="15"/>
  <c r="L48" i="67"/>
  <c r="F13" i="67"/>
  <c r="F43" i="67"/>
  <c r="M28" i="67"/>
  <c r="F42" i="15"/>
  <c r="M23" i="67"/>
  <c r="F3" i="73"/>
  <c r="B13" i="76"/>
  <c r="D5" i="73"/>
  <c r="B9" i="76"/>
  <c r="F7" i="73"/>
  <c r="F20" i="31"/>
  <c r="F6" i="67"/>
  <c r="M6" i="15"/>
  <c r="E8" i="76"/>
  <c r="D34" i="9"/>
  <c r="E9" i="76"/>
  <c r="F8" i="15"/>
  <c r="F6" i="15"/>
  <c r="M22" i="67"/>
  <c r="M23" i="15"/>
  <c r="D4" i="73"/>
  <c r="B10" i="76"/>
  <c r="M28" i="15"/>
  <c r="M9" i="15"/>
  <c r="F5" i="73"/>
  <c r="F36" i="67"/>
  <c r="F37" i="67"/>
  <c r="L47" i="15"/>
  <c r="D19" i="9"/>
  <c r="F38" i="67"/>
  <c r="M24" i="15"/>
  <c r="J15" i="15"/>
  <c r="B11" i="76"/>
  <c r="D35" i="9"/>
  <c r="E2" i="69"/>
  <c r="M29" i="15"/>
  <c r="E7" i="76"/>
  <c r="F40" i="15"/>
  <c r="F26" i="67"/>
  <c r="F26" i="15"/>
  <c r="F38" i="15"/>
  <c r="M8" i="67"/>
  <c r="M26" i="15"/>
  <c r="M26" i="67"/>
  <c r="J15" i="67"/>
  <c r="E12" i="76"/>
  <c r="B12" i="76"/>
  <c r="F6" i="73"/>
  <c r="C76" i="15"/>
  <c r="C76" i="67"/>
  <c r="R50" i="34" l="1"/>
  <c r="W40" i="34"/>
  <c r="G124" i="34"/>
  <c r="H124" i="34" s="1"/>
  <c r="I124" i="34" s="1"/>
  <c r="J124" i="34" s="1"/>
  <c r="K124" i="34" s="1"/>
  <c r="L124" i="34" s="1"/>
  <c r="M124" i="34" s="1"/>
  <c r="H43" i="34"/>
  <c r="F43" i="34"/>
  <c r="AA43" i="34" s="1"/>
  <c r="J43" i="34"/>
  <c r="S43" i="34"/>
  <c r="W33" i="34"/>
  <c r="AA33" i="34"/>
  <c r="AA40" i="34"/>
  <c r="AC36" i="34"/>
  <c r="AB35" i="34"/>
  <c r="S35" i="34"/>
  <c r="S23" i="34"/>
  <c r="AC21" i="34"/>
  <c r="S21" i="34"/>
  <c r="AC17" i="34"/>
  <c r="AB17" i="34"/>
  <c r="F29" i="6"/>
  <c r="E19" i="71"/>
  <c r="E18" i="71" s="1"/>
  <c r="E17" i="71" s="1"/>
  <c r="E16" i="71" s="1"/>
  <c r="V20" i="71"/>
  <c r="AZ585" i="3"/>
  <c r="S12" i="21"/>
  <c r="AA12" i="21"/>
  <c r="W32" i="40"/>
  <c r="AC32" i="40"/>
  <c r="AZ447" i="3"/>
  <c r="D17" i="71"/>
  <c r="C16" i="71"/>
  <c r="D19" i="53"/>
  <c r="B38" i="72" s="1"/>
  <c r="D16" i="53"/>
  <c r="B34" i="72" s="1"/>
  <c r="G28" i="6"/>
  <c r="AZ362" i="3"/>
  <c r="AZ557" i="3"/>
  <c r="AC12" i="40"/>
  <c r="W12" i="40"/>
  <c r="S38" i="40"/>
  <c r="AA38" i="40"/>
  <c r="AZ399" i="3"/>
  <c r="AZ404" i="3"/>
  <c r="AZ411" i="3"/>
  <c r="AZ414" i="3"/>
  <c r="AZ421" i="3"/>
  <c r="AZ423" i="3"/>
  <c r="AZ427" i="3"/>
  <c r="AZ430" i="3"/>
  <c r="AZ440" i="3"/>
  <c r="U43" i="33"/>
  <c r="AA41" i="34"/>
  <c r="U46" i="33"/>
  <c r="AA13" i="35"/>
  <c r="B73" i="43"/>
  <c r="B79" i="43"/>
  <c r="B76" i="43"/>
  <c r="B75" i="43"/>
  <c r="AZ453" i="3"/>
  <c r="AZ455" i="3"/>
  <c r="AZ460" i="3"/>
  <c r="AZ471" i="3"/>
  <c r="AZ476" i="3"/>
  <c r="AZ478" i="3"/>
  <c r="AZ484" i="3"/>
  <c r="AZ492" i="3"/>
  <c r="AZ395" i="3"/>
  <c r="AZ208" i="3"/>
  <c r="AZ211" i="3"/>
  <c r="AZ219" i="3"/>
  <c r="AZ236" i="3"/>
  <c r="AZ252" i="3"/>
  <c r="AZ272" i="3"/>
  <c r="AZ276" i="3"/>
  <c r="AZ289" i="3"/>
  <c r="AZ294" i="3"/>
  <c r="AZ300" i="3"/>
  <c r="AZ118" i="3"/>
  <c r="AZ121" i="3"/>
  <c r="F44" i="39"/>
  <c r="H38" i="40"/>
  <c r="J38" i="40"/>
  <c r="H39" i="40"/>
  <c r="AZ134" i="3"/>
  <c r="AZ137" i="3"/>
  <c r="AZ145" i="3"/>
  <c r="AZ161" i="3"/>
  <c r="AZ177" i="3"/>
  <c r="AZ193" i="3"/>
  <c r="AZ34" i="3"/>
  <c r="AZ38" i="3"/>
  <c r="AZ44" i="3"/>
  <c r="AZ48" i="3"/>
  <c r="AZ60" i="3"/>
  <c r="AZ73" i="3"/>
  <c r="AZ78" i="3"/>
  <c r="AZ87" i="3"/>
  <c r="AZ91" i="3"/>
  <c r="AZ95" i="3"/>
  <c r="AZ108" i="3"/>
  <c r="V28" i="71"/>
  <c r="C39" i="71"/>
  <c r="Y29" i="71"/>
  <c r="Z29" i="71" s="1"/>
  <c r="AA33" i="71"/>
  <c r="X25" i="71"/>
  <c r="X27" i="71"/>
  <c r="E30" i="71"/>
  <c r="E31" i="71" s="1"/>
  <c r="E32" i="71" s="1"/>
  <c r="U32" i="71" s="1"/>
  <c r="AA29" i="71"/>
  <c r="X30" i="71"/>
  <c r="AB30" i="71"/>
  <c r="AA34" i="71"/>
  <c r="Y35" i="71"/>
  <c r="Z35" i="71" s="1"/>
  <c r="Y33" i="71"/>
  <c r="Z33" i="71" s="1"/>
  <c r="B38" i="71"/>
  <c r="B39" i="71" s="1"/>
  <c r="B40" i="71" s="1"/>
  <c r="S40" i="71" s="1"/>
  <c r="X37" i="71"/>
  <c r="U18" i="36"/>
  <c r="X31" i="71"/>
  <c r="X32" i="71"/>
  <c r="AB34" i="71"/>
  <c r="AB33" i="71"/>
  <c r="AA35" i="71"/>
  <c r="AA36" i="71"/>
  <c r="X9" i="71"/>
  <c r="X10" i="71"/>
  <c r="AB10" i="71"/>
  <c r="AB9" i="71"/>
  <c r="V68" i="71"/>
  <c r="F67" i="71"/>
  <c r="AA24" i="71"/>
  <c r="X21" i="71"/>
  <c r="AA22" i="71"/>
  <c r="AA21" i="71"/>
  <c r="Y18" i="71"/>
  <c r="Z18" i="71" s="1"/>
  <c r="AB18" i="71"/>
  <c r="X14" i="71"/>
  <c r="AA11" i="71"/>
  <c r="X17" i="71"/>
  <c r="AA17" i="71"/>
  <c r="AB37"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2" i="71"/>
  <c r="X11" i="71"/>
  <c r="X12" i="71"/>
  <c r="AB13" i="71"/>
  <c r="AB14" i="71"/>
  <c r="Y12" i="71"/>
  <c r="Z12" i="71" s="1"/>
  <c r="Y13" i="71"/>
  <c r="Z13" i="71" s="1"/>
  <c r="Y23" i="71"/>
  <c r="Z23" i="71" s="1"/>
  <c r="Y22" i="71"/>
  <c r="Z22" i="71" s="1"/>
  <c r="AA23" i="71"/>
  <c r="AB23" i="71"/>
  <c r="X22" i="71"/>
  <c r="X15" i="71"/>
  <c r="AA15" i="71"/>
  <c r="AA13" i="71"/>
  <c r="AA14"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C16" i="15"/>
  <c r="G1" i="73"/>
  <c r="AC43" i="34" l="1"/>
  <c r="W43" i="34"/>
  <c r="AB43" i="34"/>
  <c r="U43" i="34"/>
  <c r="N370" i="46"/>
  <c r="G26" i="43"/>
  <c r="B15" i="71"/>
  <c r="B14" i="71" s="1"/>
  <c r="B13" i="71" s="1"/>
  <c r="B12" i="71" s="1"/>
  <c r="S16" i="71"/>
  <c r="F66" i="71"/>
  <c r="Q67" i="71"/>
  <c r="C40" i="71"/>
  <c r="D39" i="71"/>
  <c r="AC38" i="40"/>
  <c r="W38" i="40"/>
  <c r="AA44" i="39"/>
  <c r="S44" i="39"/>
  <c r="C15" i="71"/>
  <c r="T16" i="71"/>
  <c r="AB39" i="40"/>
  <c r="U39" i="40"/>
  <c r="U38" i="40"/>
  <c r="AB38" i="40"/>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49" i="34" l="1"/>
  <c r="G53" i="34" s="1"/>
  <c r="H53" i="34" s="1"/>
  <c r="E65" i="39"/>
  <c r="E11" i="71"/>
  <c r="E10" i="71" s="1"/>
  <c r="E9" i="71" s="1"/>
  <c r="E8" i="71" s="1"/>
  <c r="E7" i="71" s="1"/>
  <c r="E6" i="71" s="1"/>
  <c r="E5" i="71" s="1"/>
  <c r="V12" i="71"/>
  <c r="D15" i="71"/>
  <c r="C14" i="71"/>
  <c r="D40" i="71"/>
  <c r="T40" i="71"/>
  <c r="Q66" i="71"/>
  <c r="Q65" i="71"/>
  <c r="B11" i="71"/>
  <c r="B10" i="71" s="1"/>
  <c r="B9" i="71" s="1"/>
  <c r="B8" i="71" s="1"/>
  <c r="B7" i="71" s="1"/>
  <c r="B6" i="71" s="1"/>
  <c r="B5" i="71" s="1"/>
  <c r="S12" i="71"/>
  <c r="L37" i="43"/>
  <c r="P36" i="43"/>
  <c r="N36" i="43"/>
  <c r="Q36" i="43"/>
  <c r="O36" i="43"/>
  <c r="M36" i="43"/>
  <c r="AC7" i="34"/>
  <c r="I49" i="34" s="1"/>
  <c r="I53" i="34" s="1"/>
  <c r="J53" i="34" s="1"/>
  <c r="U7" i="34"/>
  <c r="AA7" i="34"/>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C49" i="34" l="1"/>
  <c r="M50" i="34"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67"/>
  <c r="C17" i="15"/>
  <c r="C14" i="67"/>
  <c r="M49" i="34" l="1"/>
  <c r="C50" i="34"/>
  <c r="C25" i="1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M24" i="43"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6"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H4" i="52"/>
  <c r="C104" i="9"/>
  <c r="C81" i="9"/>
  <c r="D8" i="52"/>
  <c r="C5" i="74"/>
  <c r="E97" i="9"/>
  <c r="I4" i="52"/>
  <c r="C105" i="9"/>
  <c r="M48" i="9"/>
  <c r="N58" i="9"/>
  <c r="P57" i="9"/>
  <c r="N60" i="9"/>
  <c r="N59" i="9"/>
  <c r="N61" i="9"/>
  <c r="B49" i="72"/>
  <c r="B31" i="72"/>
  <c r="B22" i="72"/>
  <c r="L65" i="9"/>
  <c r="M65" i="9"/>
  <c r="D59" i="9"/>
  <c r="M55" i="9"/>
  <c r="C93" i="9"/>
  <c r="C86" i="9"/>
  <c r="L68" i="9"/>
  <c r="M68" i="9"/>
  <c r="B30" i="72"/>
  <c r="B52" i="72"/>
  <c r="B20" i="72"/>
  <c r="D5" i="53"/>
  <c r="D6" i="53"/>
  <c r="L67" i="9"/>
  <c r="M67" i="9"/>
  <c r="H102" i="9"/>
  <c r="D7" i="53"/>
  <c r="B21" i="72"/>
  <c r="E4" i="52"/>
  <c r="B48" i="72"/>
  <c r="B53" i="72"/>
  <c r="D4" i="52"/>
  <c r="B47" i="72"/>
  <c r="H119" i="9"/>
  <c r="H5" i="52"/>
  <c r="C64" i="9"/>
  <c r="C63" i="9"/>
  <c r="C67" i="9"/>
  <c r="C68" i="9"/>
  <c r="D54" i="9"/>
  <c r="G4" i="52"/>
  <c r="F119" i="9"/>
  <c r="F5" i="52"/>
  <c r="C6" i="74"/>
  <c r="H108" i="9"/>
  <c r="D15" i="53"/>
  <c r="C96" i="9"/>
  <c r="E96" i="9"/>
  <c r="C72" i="9"/>
  <c r="C79" i="9"/>
  <c r="C80" i="9"/>
  <c r="E80" i="9"/>
  <c r="E81" i="9"/>
  <c r="L63" i="9"/>
  <c r="M63" i="9"/>
  <c r="M69" i="9"/>
  <c r="N69" i="9"/>
  <c r="D13" i="53"/>
  <c r="D14" i="53"/>
  <c r="B32" i="72"/>
  <c r="L64" i="9"/>
  <c r="M64" i="9"/>
  <c r="C78" i="9"/>
  <c r="C73" i="9"/>
  <c r="C85" i="9"/>
  <c r="C95" i="9"/>
  <c r="C97" i="9"/>
  <c r="D58" i="9"/>
  <c r="D56" i="9"/>
  <c r="M54" i="9"/>
  <c r="D122" i="9"/>
  <c r="D123" i="9"/>
  <c r="D9" i="52"/>
  <c r="G118" i="9"/>
  <c r="F118" i="9"/>
  <c r="F4" i="52"/>
  <c r="B51" i="72"/>
  <c r="H107" i="9"/>
  <c r="M49" i="9"/>
  <c r="L66" i="9"/>
  <c r="M66" i="9"/>
  <c r="H101" i="9"/>
  <c r="D45" i="9"/>
  <c r="D55" i="9"/>
  <c r="M53" i="9"/>
  <c r="N57"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<sst xmlns="http://schemas.openxmlformats.org/spreadsheetml/2006/main" count="7853" uniqueCount="3428">
  <si>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</si>
  <si>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</si>
  <si>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</si>
  <si>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</si>
  <si>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</si>
  <si>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</si>
  <si>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</si>
  <si>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</si>
  <si>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</si>
  <si>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</si>
  <si>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</si>
  <si>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</si>
  <si>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</si>
  <si>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</si>
  <si>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</si>
  <si>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</si>
  <si>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</si>
  <si>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</si>
  <si>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</si>
  <si>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</si>
  <si>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</si>
  <si>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</si>
  <si>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</si>
  <si>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</si>
  <si>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</si>
  <si>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</si>
  <si>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</si>
  <si>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</si>
  <si>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</si>
  <si>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</si>
  <si>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</si>
  <si>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</si>
  <si>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</si>
  <si>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</si>
  <si>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</si>
  <si>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</si>
  <si>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</si>
  <si>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</si>
  <si>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</si>
  <si>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</si>
  <si>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</si>
  <si>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</si>
  <si>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</si>
  <si>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</si>
  <si>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</si>
  <si>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</si>
  <si>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</si>
  <si>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</si>
  <si>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</si>
  <si>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</si>
  <si>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</si>
  <si>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</si>
  <si>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</si>
  <si>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</si>
  <si>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</si>
  <si>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</si>
  <si>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</si>
  <si>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</si>
  <si>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</si>
  <si>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</si>
  <si>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</si>
  <si>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</si>
  <si>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</si>
  <si>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</si>
  <si>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</si>
  <si>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</si>
  <si>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</si>
  <si>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</si>
  <si>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</si>
  <si>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</si>
  <si>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</si>
  <si>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</si>
  <si>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</si>
  <si>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</si>
  <si>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</si>
  <si>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</si>
  <si>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</si>
  <si>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</si>
  <si>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</si>
  <si>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</si>
  <si>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</si>
  <si>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</si>
  <si>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</si>
  <si>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</si>
  <si>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</si>
  <si>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</si>
  <si>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</si>
  <si>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</si>
  <si>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</si>
  <si>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</si>
  <si>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</si>
  <si>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</si>
  <si>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</si>
  <si>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</si>
  <si>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</si>
  <si>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</si>
  <si>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</si>
  <si>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</si>
  <si>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</si>
  <si>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</si>
  <si>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</si>
  <si>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</si>
  <si>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</si>
  <si>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</si>
  <si>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</si>
  <si>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</si>
  <si>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</si>
  <si>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</si>
  <si>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</si>
  <si>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</si>
  <si>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</si>
  <si>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</si>
  <si>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</si>
  <si>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</si>
  <si>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</si>
  <si>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</si>
  <si>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</si>
  <si>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</si>
  <si>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</si>
  <si>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</si>
  <si>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</si>
  <si>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</si>
  <si>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</si>
  <si>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</si>
  <si>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</si>
  <si>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</si>
  <si>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</si>
  <si>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</si>
  <si>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</si>
  <si>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</si>
  <si>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</si>
  <si>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</si>
  <si>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</si>
  <si>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</si>
  <si>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</si>
  <si>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</si>
  <si>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</si>
  <si>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</si>
  <si>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</si>
  <si>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</si>
  <si>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</si>
  <si>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</si>
  <si>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</si>
  <si>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</si>
  <si>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</si>
  <si>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</si>
  <si>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</si>
  <si>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</si>
  <si>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</si>
  <si>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</si>
  <si>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</si>
  <si>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</si>
  <si>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</si>
  <si>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</si>
  <si>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</si>
  <si>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</si>
  <si>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</si>
  <si>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</si>
  <si>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</si>
  <si>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</si>
  <si>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</si>
  <si>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</si>
  <si>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</si>
  <si>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</si>
  <si>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</si>
  <si>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</si>
  <si>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</si>
  <si>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</si>
  <si>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</si>
  <si>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</si>
  <si>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</si>
  <si>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</si>
  <si>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</si>
  <si>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</si>
  <si>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</si>
  <si>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</si>
  <si>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</si>
  <si>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</si>
  <si>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</si>
  <si>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</si>
  <si>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</si>
  <si>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</si>
  <si>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</si>
  <si>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</si>
  <si>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</si>
  <si>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</si>
  <si>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</si>
  <si>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</si>
  <si>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</si>
  <si>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</si>
  <si>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</si>
  <si>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</si>
  <si>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</si>
  <si>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</si>
  <si>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</si>
  <si>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</si>
  <si>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</si>
  <si>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</si>
  <si>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</si>
  <si>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</si>
  <si>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</si>
  <si>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</si>
  <si>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</si>
  <si>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</si>
  <si>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</si>
  <si>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</si>
  <si>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</si>
  <si>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</si>
  <si>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</si>
  <si>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</si>
  <si>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</si>
  <si>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</si>
  <si>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</si>
  <si>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</si>
  <si>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</si>
  <si>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</si>
  <si>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</si>
  <si>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</si>
  <si>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</si>
  <si>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</si>
  <si>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</si>
  <si>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</si>
  <si>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</si>
  <si>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</si>
  <si>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</si>
  <si>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</si>
  <si>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</si>
  <si>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</si>
  <si>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</si>
  <si>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</si>
  <si>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</si>
  <si>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</si>
  <si>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</si>
  <si>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</si>
  <si>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</si>
  <si>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</si>
  <si>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</si>
  <si>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</si>
  <si>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</si>
  <si>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</si>
  <si>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</si>
  <si>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</si>
  <si>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</si>
  <si>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</si>
  <si>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</si>
  <si>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</si>
  <si>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</si>
  <si>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</si>
  <si>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</si>
  <si>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</si>
  <si>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</si>
  <si>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</si>
  <si>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</si>
  <si>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</si>
  <si>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</si>
  <si>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</si>
  <si>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</si>
  <si>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</si>
  <si>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</si>
  <si>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</si>
  <si>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</si>
  <si>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</si>
  <si>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</si>
  <si>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</si>
  <si>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</si>
  <si>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</si>
  <si>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</si>
  <si>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</si>
  <si>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</si>
  <si>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</si>
  <si>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</si>
  <si>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</si>
  <si>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</si>
  <si>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</si>
  <si>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</si>
  <si>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</si>
  <si>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</si>
  <si>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</si>
  <si>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</si>
  <si>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</si>
  <si>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</si>
  <si>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</si>
  <si>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</si>
  <si>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</si>
  <si>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</si>
  <si>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</si>
  <si>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</si>
  <si>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</si>
  <si>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</si>
  <si>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</si>
  <si>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</si>
  <si>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</si>
  <si>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</si>
  <si>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</si>
  <si>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</si>
  <si>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</si>
  <si>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</si>
  <si>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</si>
  <si>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</si>
  <si>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</si>
  <si>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</si>
  <si>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</si>
  <si>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</si>
  <si>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</si>
  <si>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</si>
  <si>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</si>
  <si>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</si>
  <si>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</si>
  <si>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</si>
  <si>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</si>
  <si>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</si>
  <si>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</si>
  <si>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</si>
  <si>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</si>
  <si>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</si>
  <si>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</si>
  <si>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</si>
  <si>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</si>
  <si>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</si>
  <si>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</si>
  <si>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</si>
  <si>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</si>
  <si>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</si>
  <si>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</si>
  <si>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</si>
  <si>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</si>
  <si>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</si>
  <si>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</si>
  <si>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</si>
  <si>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</si>
  <si>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</si>
  <si>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</si>
  <si>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</si>
  <si>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</si>
  <si>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</si>
  <si>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</si>
  <si>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</si>
  <si>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</si>
  <si>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</si>
  <si>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</si>
  <si>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</si>
  <si>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</si>
  <si>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</si>
  <si>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</si>
  <si>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</si>
  <si>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</si>
  <si>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</si>
  <si>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</si>
  <si>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</si>
  <si>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</si>
  <si>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</si>
  <si>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</si>
  <si>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</si>
  <si>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</si>
  <si>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</si>
  <si>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</si>
  <si>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</si>
  <si>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</si>
  <si>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</si>
  <si>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</si>
  <si>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</si>
  <si>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</si>
  <si>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</si>
  <si>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</si>
  <si>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</si>
  <si>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</si>
  <si>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</si>
  <si>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</si>
  <si>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</si>
  <si>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</si>
  <si>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</si>
  <si>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</si>
  <si>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</si>
  <si>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</si>
  <si>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</si>
  <si>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</si>
  <si>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</si>
  <si>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</si>
  <si>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</si>
  <si>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</si>
  <si>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</si>
  <si>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</si>
  <si>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</si>
  <si>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</si>
  <si>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</si>
  <si>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</si>
  <si>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</si>
  <si>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</si>
  <si>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</si>
  <si>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</si>
  <si>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</si>
  <si>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</si>
  <si>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</si>
  <si>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</si>
  <si>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</si>
  <si>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</si>
  <si>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</si>
  <si>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</si>
  <si>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</si>
  <si>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</si>
  <si>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</si>
  <si>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</si>
  <si>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</si>
  <si>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</si>
  <si>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</si>
  <si>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</si>
  <si>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</si>
  <si>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</si>
  <si>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</si>
  <si>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</si>
  <si>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</si>
  <si>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</si>
  <si>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</si>
  <si>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</si>
  <si>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</si>
  <si>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</si>
  <si>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</si>
  <si>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</si>
  <si>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</si>
  <si>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</si>
  <si>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</si>
  <si>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</si>
  <si>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</si>
  <si>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</si>
  <si>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</si>
  <si>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</si>
  <si>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</si>
  <si>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</si>
  <si>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</si>
  <si>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</si>
  <si>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</si>
  <si>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</si>
  <si>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</si>
  <si>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</si>
  <si>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</si>
  <si>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</si>
  <si>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</si>
  <si>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</si>
  <si>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</si>
  <si>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</si>
  <si>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</si>
  <si>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</si>
  <si>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</si>
  <si>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</si>
  <si>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</si>
  <si>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</si>
  <si>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</si>
  <si>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</si>
  <si>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</si>
  <si>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</si>
  <si>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</si>
  <si>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</si>
  <si>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</si>
  <si>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</si>
  <si>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</si>
  <si>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</si>
  <si>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</si>
  <si>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</si>
  <si>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</si>
  <si>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</si>
  <si>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</si>
  <si>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</si>
  <si>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</si>
  <si>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</si>
  <si>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</si>
  <si>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</si>
  <si>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</si>
  <si>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</si>
  <si>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</si>
  <si>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</si>
  <si>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</si>
  <si>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</si>
  <si>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</si>
  <si>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</si>
  <si>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</si>
  <si>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</si>
  <si>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</si>
  <si>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</si>
  <si>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</si>
  <si>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</si>
  <si>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</si>
  <si>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</si>
  <si>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</si>
  <si>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</si>
  <si>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</si>
  <si>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</si>
  <si>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</si>
  <si>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</si>
  <si>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</si>
  <si>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</si>
  <si>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</si>
  <si>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</si>
  <si>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</si>
  <si>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</si>
  <si>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</si>
  <si>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</si>
  <si>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</si>
  <si>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</si>
  <si>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</si>
  <si>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</si>
  <si>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</si>
  <si>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</si>
  <si>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</si>
  <si>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</si>
  <si>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</si>
  <si>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</si>
  <si>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</si>
  <si>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</si>
  <si>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</si>
  <si>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</si>
  <si>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</si>
  <si>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</si>
  <si>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</si>
  <si>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</si>
  <si>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</si>
  <si>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</si>
  <si>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</si>
  <si>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</si>
  <si>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</si>
  <si>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</si>
  <si>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</si>
  <si>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</si>
  <si>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</si>
  <si>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</si>
  <si>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</si>
  <si>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</si>
  <si>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</si>
  <si>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</si>
  <si>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</si>
  <si>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</si>
  <si>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</si>
  <si>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</si>
  <si>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</si>
  <si>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</si>
  <si>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</si>
  <si>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</si>
  <si>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</si>
  <si>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</si>
  <si>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</si>
  <si>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</si>
  <si>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</si>
  <si>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</si>
  <si>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</si>
  <si>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</si>
  <si>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</si>
  <si>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</si>
  <si>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</si>
  <si>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</si>
  <si>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</si>
  <si>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</si>
  <si>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</si>
  <si>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</si>
  <si>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</si>
  <si>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</si>
  <si>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</si>
  <si>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</si>
  <si>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</si>
  <si>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</si>
  <si>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</si>
  <si>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</si>
  <si>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</si>
  <si>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</si>
  <si>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</si>
  <si>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</si>
  <si>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</si>
  <si>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</si>
  <si>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</si>
  <si>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</si>
  <si>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</si>
  <si>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</si>
  <si>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</si>
  <si>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</si>
  <si>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</si>
  <si>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</si>
  <si>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</si>
  <si>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</si>
  <si>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</si>
  <si>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</si>
  <si>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</si>
  <si>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</si>
  <si>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</si>
  <si>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</si>
  <si>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</si>
  <si>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</si>
  <si>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</si>
  <si>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</si>
  <si>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</si>
  <si>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</si>
  <si>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</si>
  <si>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</si>
  <si>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</si>
  <si>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</si>
  <si>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</si>
  <si>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</si>
  <si>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</si>
  <si>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</si>
  <si>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</si>
  <si>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</si>
  <si>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</si>
  <si>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</si>
  <si>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</si>
  <si>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</si>
  <si>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</si>
  <si>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</si>
  <si>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</si>
  <si>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</si>
  <si>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</si>
  <si>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</si>
  <si>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</si>
  <si>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</si>
  <si>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</si>
  <si>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</si>
  <si>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</si>
  <si>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</si>
  <si>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</si>
  <si>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</si>
  <si>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</si>
  <si>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</si>
  <si>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</si>
  <si>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</si>
  <si>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</si>
  <si>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</si>
  <si>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</si>
  <si>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</si>
  <si>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</si>
  <si>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</si>
  <si>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</si>
  <si>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</si>
  <si>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</si>
  <si>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</si>
  <si>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</si>
  <si>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</si>
  <si>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</si>
  <si>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</si>
  <si>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</si>
  <si>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</si>
  <si>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</si>
  <si>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</si>
  <si>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</si>
  <si>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</si>
  <si>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</si>
  <si>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</si>
  <si>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</si>
  <si>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</si>
  <si>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</si>
  <si>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</si>
  <si>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</si>
  <si>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</si>
  <si>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</si>
  <si>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</si>
  <si>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</si>
  <si>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</si>
  <si>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</si>
  <si>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</si>
  <si>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</si>
  <si>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</si>
  <si>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</si>
  <si>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</si>
  <si>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</si>
  <si>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</si>
  <si>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</si>
  <si>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</si>
  <si>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</si>
  <si>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</si>
  <si>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</si>
  <si>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</si>
  <si>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</si>
  <si>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</si>
  <si>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</si>
  <si>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</si>
  <si>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</si>
  <si>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</si>
  <si>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</si>
  <si>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</si>
  <si>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</si>
  <si>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</si>
  <si>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</si>
  <si>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</si>
  <si>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</si>
  <si>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</si>
  <si>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</si>
  <si>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</si>
  <si>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</si>
  <si>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</si>
  <si>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</si>
  <si>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</si>
  <si>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</si>
  <si>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</si>
  <si>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</si>
  <si>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</si>
  <si>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</si>
  <si>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</si>
  <si>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</si>
  <si>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</si>
  <si>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</si>
  <si>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</si>
  <si>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</si>
  <si>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</si>
  <si>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</si>
  <si>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</si>
  <si>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</si>
  <si>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</si>
  <si>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</si>
  <si>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</si>
  <si>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</si>
  <si>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</si>
  <si>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</si>
  <si>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</si>
  <si>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</si>
  <si>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</si>
  <si>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</si>
  <si>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</si>
  <si>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</si>
  <si>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</si>
  <si>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</si>
  <si>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</si>
  <si>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</si>
  <si>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</si>
  <si>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</si>
  <si>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</si>
  <si>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</si>
  <si>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</si>
  <si>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</si>
  <si>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</si>
  <si>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</si>
  <si>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</si>
  <si>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</si>
  <si>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</si>
  <si>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</si>
  <si>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</si>
  <si>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</si>
  <si>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</si>
  <si>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</si>
  <si>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</si>
  <si>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</si>
  <si>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</si>
  <si>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</si>
  <si>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</si>
  <si>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</si>
  <si>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</si>
  <si>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</si>
  <si>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</si>
  <si>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</si>
  <si>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</si>
  <si>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</si>
  <si>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</si>
  <si>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</si>
  <si>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</si>
  <si>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</si>
  <si>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</si>
  <si>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</si>
  <si>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</si>
  <si>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</si>
  <si>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</si>
  <si>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</si>
  <si>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</si>
  <si>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</si>
  <si>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</si>
  <si>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</si>
  <si>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</si>
  <si>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</si>
  <si>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</si>
  <si>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</si>
  <si>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</si>
  <si>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</si>
  <si>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</si>
  <si>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</si>
  <si>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</si>
  <si>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</si>
  <si>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</si>
  <si>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</si>
  <si>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</si>
  <si>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</si>
  <si>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</si>
  <si>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</si>
  <si>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</si>
  <si>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</si>
  <si>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</si>
  <si>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</si>
  <si>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</si>
  <si>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</si>
  <si>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</si>
  <si>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</si>
  <si>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</si>
  <si>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</si>
  <si>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</si>
  <si>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</si>
  <si>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</si>
  <si>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</si>
  <si>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</si>
  <si>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</si>
  <si>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</si>
  <si>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</si>
  <si>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</si>
  <si>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</si>
  <si>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</si>
  <si>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</si>
  <si>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</si>
  <si>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</si>
  <si>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</si>
  <si>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</si>
  <si>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</si>
  <si>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</si>
  <si>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</si>
  <si>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</si>
  <si>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</si>
  <si>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</si>
  <si>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</si>
  <si>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</si>
  <si>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</si>
  <si>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</si>
  <si>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</si>
  <si>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</si>
  <si>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</si>
  <si>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</si>
  <si>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</si>
  <si>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</si>
  <si>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</si>
  <si>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</si>
  <si>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</si>
  <si>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</si>
  <si>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</si>
  <si>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</si>
  <si>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</si>
  <si>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</si>
  <si>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</si>
  <si>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</si>
  <si>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</si>
  <si>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</si>
  <si>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</si>
  <si>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</si>
  <si>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</si>
  <si>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</si>
  <si>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</si>
  <si>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</si>
  <si>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</si>
  <si>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</si>
  <si>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</si>
  <si>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</si>
  <si>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</si>
  <si>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</si>
  <si>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</si>
  <si>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</si>
  <si>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</si>
  <si>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</si>
  <si>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</si>
  <si>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</si>
  <si>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</si>
  <si>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</si>
  <si>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</si>
  <si>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</si>
  <si>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</si>
  <si>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</si>
  <si>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</si>
  <si>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</si>
  <si>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</si>
  <si>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</si>
  <si>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</si>
  <si>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</si>
  <si>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</si>
  <si>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</si>
  <si>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</si>
  <si>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</si>
  <si>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</si>
  <si>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</si>
  <si>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</si>
  <si>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</si>
  <si>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</si>
  <si>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</si>
  <si>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</si>
  <si>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</si>
  <si>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</si>
  <si>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</si>
  <si>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</si>
  <si>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</si>
  <si>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</si>
  <si>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</si>
  <si>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</si>
  <si>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</si>
  <si>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</si>
  <si>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</si>
  <si>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</si>
  <si>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</si>
  <si>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</si>
  <si>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</si>
  <si>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</si>
  <si>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</si>
  <si>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</si>
  <si>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</si>
  <si>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</si>
  <si>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</si>
  <si>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</si>
  <si>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</si>
  <si>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</si>
  <si>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</si>
  <si>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</si>
  <si>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</si>
  <si>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</si>
  <si>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</si>
  <si>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</si>
  <si>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</si>
  <si>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</si>
  <si>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</si>
  <si>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</si>
  <si>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</si>
  <si>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</si>
  <si>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</si>
  <si>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</si>
  <si>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</si>
  <si>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</si>
  <si>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</si>
  <si>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</si>
  <si>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</si>
  <si>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</si>
  <si>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</si>
  <si>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</si>
  <si>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</si>
  <si>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</si>
  <si>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</si>
  <si>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</si>
  <si>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</si>
  <si>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</si>
  <si>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</si>
  <si>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</si>
  <si>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</si>
  <si>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</si>
  <si>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</si>
  <si>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</si>
  <si>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</si>
  <si>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</si>
  <si>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</si>
  <si>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</si>
  <si>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</si>
  <si>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</si>
  <si>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</si>
  <si>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</si>
  <si>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</si>
  <si>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</si>
  <si>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</si>
  <si>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</si>
  <si>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</si>
  <si>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</si>
  <si>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</si>
  <si>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</si>
  <si>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</si>
  <si>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</si>
  <si>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</si>
  <si>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</si>
  <si>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</si>
  <si>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</si>
  <si>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</si>
  <si>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</si>
  <si>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</si>
  <si>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</si>
  <si>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</si>
  <si>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</si>
  <si>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</si>
  <si>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</si>
  <si>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</si>
  <si>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</si>
  <si>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</si>
  <si>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</si>
  <si>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</si>
  <si>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</si>
  <si>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</si>
  <si>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</si>
  <si>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</si>
  <si>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</si>
  <si>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</si>
  <si>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</si>
  <si>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</si>
  <si>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</si>
  <si>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</si>
  <si>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</si>
  <si>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</si>
  <si>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</si>
  <si>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</si>
  <si>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</si>
  <si>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</si>
  <si>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</si>
  <si>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</si>
  <si>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</si>
  <si>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</si>
  <si>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</si>
  <si>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</si>
  <si>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</si>
  <si>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</si>
  <si>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</si>
  <si>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</si>
  <si>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</si>
  <si>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</si>
  <si>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</si>
  <si>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</si>
  <si>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</si>
  <si>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</si>
  <si>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</si>
  <si>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</si>
  <si>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</si>
  <si>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</si>
  <si>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</si>
  <si>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</si>
  <si>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</si>
  <si>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</si>
  <si>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</si>
  <si>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</si>
  <si>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</si>
  <si>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</si>
  <si>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</si>
  <si>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</si>
  <si>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</si>
  <si>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</si>
  <si>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</si>
  <si>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</si>
  <si>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</si>
  <si>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</si>
  <si>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</si>
  <si>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</si>
  <si>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</si>
  <si>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</si>
  <si>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</si>
  <si>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</si>
  <si>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</si>
  <si>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</si>
  <si>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</si>
  <si>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</si>
  <si>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</si>
  <si>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</si>
  <si>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</si>
  <si>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</si>
  <si>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</si>
  <si>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</si>
  <si>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</si>
  <si>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</si>
  <si>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</si>
  <si>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</si>
  <si>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</si>
  <si>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</si>
  <si>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</si>
  <si>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</si>
  <si>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</si>
  <si>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</si>
  <si>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</si>
  <si>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</si>
  <si>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</si>
  <si>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</si>
  <si>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</si>
  <si>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</si>
  <si>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</si>
  <si>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</si>
  <si>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</si>
  <si>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</si>
  <si>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</si>
  <si>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</si>
  <si>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</si>
  <si>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</si>
  <si>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</si>
  <si>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</si>
  <si>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</si>
  <si>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</si>
  <si>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</si>
  <si>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</si>
  <si>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</si>
  <si>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</si>
  <si>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</si>
  <si>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</si>
  <si>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</si>
  <si>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</si>
  <si>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</si>
  <si>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</si>
  <si>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</si>
  <si>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</si>
  <si>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</si>
  <si>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</si>
  <si>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</si>
  <si>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</si>
  <si>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</si>
  <si>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</si>
  <si>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</si>
  <si>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</si>
  <si>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</si>
  <si>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</si>
  <si>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</si>
  <si>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</si>
  <si>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</si>
  <si>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</si>
  <si>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</si>
  <si>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</si>
  <si>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</si>
  <si>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</si>
  <si>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</si>
  <si>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</si>
  <si>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</si>
  <si>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</si>
  <si>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</si>
  <si>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</si>
  <si>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</si>
  <si>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</si>
  <si>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</si>
  <si>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</si>
  <si>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</si>
  <si>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</si>
  <si>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</si>
  <si>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</si>
  <si>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</si>
  <si>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</si>
  <si>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</si>
  <si>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</si>
  <si>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</si>
  <si>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</si>
  <si>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</si>
  <si>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</si>
  <si>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</si>
  <si>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</si>
  <si>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</si>
  <si>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</si>
  <si>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</si>
  <si>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</si>
  <si>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</si>
  <si>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</si>
  <si>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</si>
  <si>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</si>
  <si>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</si>
  <si>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</si>
  <si>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</si>
  <si>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</si>
  <si>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</si>
  <si>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</si>
  <si>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</si>
  <si>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</si>
  <si>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</si>
  <si>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</si>
  <si>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</si>
  <si>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</si>
  <si>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</si>
  <si>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</si>
  <si>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</si>
  <si>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</si>
  <si>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</si>
  <si>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</si>
  <si>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</si>
  <si>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</si>
  <si>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</si>
  <si>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</si>
  <si>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</si>
  <si>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</si>
  <si>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</si>
  <si>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</si>
  <si>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</si>
  <si>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</si>
  <si>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</si>
  <si>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</si>
  <si>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</si>
  <si>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</si>
  <si>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</si>
  <si>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</si>
  <si>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</si>
  <si>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</si>
  <si>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</si>
  <si>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</si>
  <si>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</si>
  <si>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</si>
  <si>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</si>
  <si>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</si>
  <si>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</si>
  <si>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</si>
  <si>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</si>
  <si>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</si>
  <si>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</si>
  <si>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</si>
  <si>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</si>
  <si>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</si>
  <si>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</si>
  <si>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</si>
  <si>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</si>
  <si>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</si>
  <si>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</si>
  <si>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</si>
  <si>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</si>
  <si>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</si>
  <si>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</si>
  <si>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</si>
  <si>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</si>
  <si>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</si>
  <si>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</si>
  <si>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</si>
  <si>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</si>
  <si>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</si>
  <si>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</si>
  <si>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</si>
  <si>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</si>
  <si>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</si>
  <si>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</si>
  <si>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</si>
  <si>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</si>
  <si>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</si>
  <si>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</si>
  <si>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</si>
  <si>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</si>
  <si>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</si>
  <si>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</si>
  <si>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</si>
  <si>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</si>
  <si>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</si>
  <si>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</si>
  <si>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</si>
  <si>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</si>
  <si>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</si>
  <si>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</si>
  <si>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</si>
  <si>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</si>
  <si>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</si>
  <si>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</si>
  <si>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</si>
  <si>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</si>
  <si>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</si>
  <si>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</si>
  <si>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</si>
  <si>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</si>
  <si>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</si>
  <si>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</si>
  <si>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</si>
  <si>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</si>
  <si>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</si>
  <si>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</si>
  <si>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</si>
  <si>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</si>
  <si>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</si>
  <si>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</si>
  <si>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</si>
  <si>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</si>
  <si>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</si>
  <si>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</si>
  <si>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</si>
  <si>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</si>
  <si>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</si>
  <si>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</si>
  <si>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</si>
  <si>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</si>
  <si>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</si>
  <si>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</si>
  <si>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</si>
  <si>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</si>
  <si>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</si>
  <si>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</si>
  <si>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</si>
  <si>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</si>
  <si>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</si>
  <si>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</si>
  <si>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</si>
  <si>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</si>
  <si>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</si>
  <si>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</si>
  <si>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</si>
  <si>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</si>
  <si>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</si>
  <si>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</si>
  <si>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</si>
  <si>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</si>
  <si>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</si>
  <si>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</si>
  <si>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</si>
  <si>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</si>
  <si>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</si>
  <si>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</si>
  <si>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</si>
  <si>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</si>
  <si>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</si>
  <si>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</si>
  <si>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</si>
  <si>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</si>
  <si>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</si>
  <si>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</si>
  <si>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</si>
  <si>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</si>
  <si>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</si>
  <si>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</si>
  <si>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</si>
  <si>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</si>
  <si>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</si>
  <si>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</si>
  <si>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</si>
  <si>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</si>
  <si>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</si>
  <si>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</si>
  <si>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</si>
  <si>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</si>
  <si>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</si>
  <si>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</si>
  <si>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</si>
  <si>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</si>
  <si>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</si>
  <si>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</si>
  <si>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</si>
  <si>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</si>
  <si>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</si>
  <si>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</si>
  <si>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</si>
  <si>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</si>
  <si>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</si>
  <si>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</si>
  <si>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</si>
  <si>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</si>
  <si>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</si>
  <si>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</si>
  <si>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</si>
  <si>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</si>
  <si>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</si>
  <si>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</si>
  <si>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</si>
  <si>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</si>
  <si>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</si>
  <si>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</si>
  <si>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</si>
  <si>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</si>
  <si>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</si>
  <si>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</si>
  <si>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</si>
  <si>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</si>
  <si>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</si>
  <si>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</si>
  <si>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</si>
  <si>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</si>
  <si>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</si>
  <si>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</si>
  <si>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</si>
  <si>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</si>
  <si>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</si>
  <si>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</si>
  <si>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</si>
  <si>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</si>
  <si>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</si>
  <si>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</si>
  <si>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</si>
  <si>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</si>
  <si>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</si>
  <si>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</si>
  <si>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</si>
  <si>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</si>
  <si>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</si>
  <si>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</si>
  <si>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</si>
  <si>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</si>
  <si>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</si>
  <si>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</si>
  <si>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</si>
  <si>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</si>
  <si>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</si>
  <si>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</si>
  <si>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</si>
  <si>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</si>
  <si>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</si>
  <si>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</si>
  <si>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</si>
  <si>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</si>
  <si>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</si>
  <si>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</si>
  <si>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</si>
  <si>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</si>
  <si>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</si>
  <si>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</si>
  <si>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</si>
  <si>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</si>
  <si>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</si>
  <si>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</si>
  <si>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</si>
  <si>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</si>
  <si>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</si>
  <si>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</si>
  <si>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</si>
  <si>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</si>
  <si>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</si>
  <si>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</si>
  <si>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</si>
  <si>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</si>
  <si>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</si>
  <si>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</si>
  <si>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</si>
  <si>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</si>
  <si>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</si>
  <si>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</si>
  <si>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</si>
  <si>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</si>
  <si>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</si>
  <si>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</si>
  <si>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</si>
  <si>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</si>
  <si>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</si>
  <si>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</si>
  <si>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</si>
  <si>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</si>
  <si>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</si>
  <si>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</si>
  <si>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</si>
  <si>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</si>
  <si>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</si>
  <si>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</si>
  <si>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</si>
  <si>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</si>
  <si>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</si>
  <si>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</si>
  <si>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</si>
  <si>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</si>
  <si>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</si>
  <si>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</si>
  <si>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</si>
  <si>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</si>
  <si>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</si>
  <si>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</si>
  <si>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</si>
  <si>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</si>
  <si>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</si>
  <si>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</si>
  <si>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</si>
  <si>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</si>
  <si>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</si>
  <si>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</si>
  <si>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</si>
  <si>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</si>
  <si>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</si>
  <si>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</si>
  <si>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</si>
  <si>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</si>
  <si>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</si>
  <si>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</si>
  <si>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</si>
  <si>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</si>
  <si>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</si>
  <si>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</si>
  <si>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</si>
  <si>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</si>
  <si>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</si>
  <si>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</si>
  <si>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</si>
  <si>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</si>
  <si>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</si>
  <si>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</si>
  <si>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</si>
  <si>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</si>
  <si>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</si>
  <si>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</si>
  <si>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</si>
  <si>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</si>
  <si>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</si>
  <si>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</si>
  <si>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</si>
  <si>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</si>
  <si>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</si>
  <si>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</si>
  <si>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</si>
  <si>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</si>
  <si>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</si>
  <si>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</si>
  <si>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</si>
  <si>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</si>
  <si>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</si>
  <si>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</si>
  <si>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</si>
  <si>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</si>
  <si>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</si>
  <si>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</si>
  <si>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</si>
  <si>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</si>
  <si>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</si>
  <si>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</si>
  <si>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</si>
  <si>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</si>
  <si>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</si>
  <si>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</si>
  <si>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</si>
  <si>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</si>
  <si>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</si>
  <si>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</si>
  <si>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</si>
  <si>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</si>
  <si>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</si>
  <si>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</si>
  <si>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</si>
  <si>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</si>
  <si>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</si>
  <si>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</si>
  <si>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</si>
  <si>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</si>
  <si>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</si>
  <si>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</si>
  <si>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</si>
  <si>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</si>
  <si>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</si>
  <si>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</si>
  <si>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</si>
  <si>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</si>
  <si>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</si>
  <si>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</si>
  <si>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</si>
  <si>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</si>
  <si>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</si>
  <si>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</si>
  <si>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</si>
  <si>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</si>
  <si>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</si>
  <si>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</si>
  <si>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</si>
  <si>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</si>
  <si>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</si>
  <si>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</si>
  <si>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</si>
  <si>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</si>
  <si>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</si>
  <si>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</si>
  <si>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</si>
  <si>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</si>
  <si>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</si>
  <si>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</si>
  <si>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</si>
  <si>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</si>
  <si>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</si>
  <si>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</si>
  <si>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</si>
  <si>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</si>
  <si>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</si>
  <si>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</si>
  <si>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</si>
  <si>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</si>
  <si>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</si>
  <si>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</si>
  <si>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</si>
  <si>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</si>
  <si>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</si>
  <si>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</si>
  <si>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</si>
  <si>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</si>
  <si>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</si>
  <si>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</si>
  <si>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</si>
  <si>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</si>
  <si>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</si>
  <si>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</si>
  <si>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</si>
  <si>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</si>
  <si>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</si>
  <si>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</si>
  <si>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</si>
  <si>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</si>
  <si>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</si>
  <si>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</si>
  <si>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</si>
  <si>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</si>
  <si>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</si>
  <si>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</si>
  <si>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</si>
  <si>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</si>
  <si>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</si>
  <si>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</si>
  <si>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</si>
  <si>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</si>
  <si>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</si>
  <si>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</si>
  <si>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</si>
  <si>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</si>
  <si>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</si>
  <si>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</si>
  <si>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</si>
  <si>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</si>
  <si>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</si>
  <si>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</si>
  <si>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</si>
  <si>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</si>
  <si>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</si>
  <si>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</si>
  <si>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</si>
  <si>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</si>
  <si>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</si>
  <si>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</si>
  <si>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</si>
  <si>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</si>
  <si>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</si>
  <si>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</si>
  <si>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</si>
  <si>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</si>
  <si>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</si>
  <si>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</si>
  <si>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</si>
  <si>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</si>
  <si>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</si>
  <si>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</si>
  <si>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</si>
  <si>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</si>
  <si>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</si>
  <si>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</si>
  <si>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</si>
  <si>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</si>
  <si>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</si>
  <si>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</si>
  <si>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</si>
  <si>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</si>
  <si>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</si>
  <si>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</si>
  <si>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</si>
  <si>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</si>
  <si>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</si>
  <si>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</si>
  <si>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</si>
  <si>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</si>
  <si>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</si>
  <si>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</si>
  <si>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</si>
  <si>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</si>
  <si>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</si>
  <si>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</si>
  <si>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</si>
  <si>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</si>
  <si>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</si>
  <si>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</si>
  <si>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</si>
  <si>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</si>
  <si>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</si>
  <si>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</si>
  <si>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</si>
  <si>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</si>
  <si>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</si>
  <si>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</si>
  <si>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</si>
  <si>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</si>
  <si>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</si>
  <si>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</si>
  <si>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</si>
  <si>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</si>
  <si>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</si>
  <si>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</si>
  <si>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</si>
  <si>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</si>
  <si>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</si>
  <si>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</si>
  <si>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</si>
  <si>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</si>
  <si>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</si>
  <si>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</si>
  <si>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</si>
  <si>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</si>
  <si>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</si>
  <si>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</si>
  <si>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</si>
  <si>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</si>
  <si>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</si>
  <si>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</si>
  <si>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</si>
  <si>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</si>
  <si>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</si>
  <si>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</si>
  <si>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</si>
  <si>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</si>
  <si>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</si>
  <si>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</si>
  <si>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</si>
  <si>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</si>
  <si>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</si>
  <si>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</si>
  <si>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</si>
  <si>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</si>
  <si>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</si>
  <si>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</si>
  <si>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</si>
  <si>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</si>
  <si>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</si>
  <si>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</si>
  <si>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</si>
  <si>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</si>
  <si>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</si>
  <si>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</si>
  <si>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</si>
  <si>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</si>
  <si>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</si>
  <si>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</si>
  <si>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</si>
  <si>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</si>
  <si>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</si>
  <si>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</si>
  <si>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</si>
  <si>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</si>
  <si>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</si>
  <si>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</si>
  <si>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</si>
  <si>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</si>
  <si>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</si>
  <si>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</si>
  <si>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</si>
  <si>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</si>
  <si>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</si>
  <si>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</si>
  <si>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</si>
  <si>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</si>
  <si>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</si>
  <si>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</si>
  <si>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</si>
  <si>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</si>
  <si>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</si>
  <si>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</si>
  <si>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</si>
  <si>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</si>
  <si>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</si>
  <si>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</si>
  <si>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</si>
  <si>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</si>
  <si>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</si>
  <si>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</si>
  <si>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</si>
  <si>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</si>
  <si>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</si>
  <si>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</si>
  <si>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</si>
  <si>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</si>
  <si>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</si>
  <si>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</si>
  <si>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</si>
  <si>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</si>
  <si>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</si>
  <si>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</si>
  <si>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</si>
  <si>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</si>
  <si>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</si>
  <si>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</si>
  <si>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</si>
  <si>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</si>
  <si>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</si>
  <si>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</si>
  <si>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</si>
  <si>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</si>
  <si>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</si>
  <si>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</si>
  <si>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</si>
  <si>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</si>
  <si>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</si>
  <si>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</si>
  <si>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</si>
  <si>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</si>
  <si>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</si>
  <si>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</si>
  <si>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</si>
  <si>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</si>
  <si>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</si>
  <si>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</si>
  <si>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</si>
  <si>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</si>
  <si>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</si>
  <si>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</si>
  <si>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</si>
  <si>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</si>
  <si>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</si>
  <si>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</si>
  <si>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</si>
  <si>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</si>
  <si>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</si>
  <si>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</si>
  <si>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</si>
  <si>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</si>
  <si>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</si>
  <si>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</si>
  <si>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</si>
  <si>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</si>
  <si>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</si>
  <si>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</si>
  <si>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</si>
  <si>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</si>
  <si>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</si>
  <si>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</si>
  <si>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</si>
  <si>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</si>
  <si>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</si>
  <si>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</si>
  <si>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</si>
  <si>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</si>
  <si>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</si>
  <si>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</si>
  <si>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</si>
  <si>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</si>
  <si>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</si>
  <si>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</si>
  <si>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</si>
  <si>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</si>
  <si>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</si>
  <si>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</si>
  <si>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</si>
  <si>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</si>
  <si>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</si>
  <si>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</si>
  <si>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</si>
  <si>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</si>
  <si>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</si>
  <si>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</si>
  <si>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</si>
  <si>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</si>
  <si>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</si>
  <si>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</si>
  <si>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</si>
  <si>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</si>
  <si>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</si>
  <si>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</si>
  <si>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</si>
  <si>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</si>
  <si>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</si>
  <si>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</si>
  <si>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</si>
  <si>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</si>
  <si>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</si>
  <si>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</si>
  <si>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</si>
  <si>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</si>
  <si>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</si>
  <si>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</si>
  <si>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</si>
  <si>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</si>
  <si>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</si>
  <si>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</si>
  <si>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</si>
  <si>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</si>
  <si>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</si>
  <si>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</si>
  <si>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</si>
  <si>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</si>
  <si>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</si>
  <si>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</si>
  <si>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</si>
  <si>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</si>
  <si>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</si>
  <si>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</si>
  <si>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</si>
  <si>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</si>
  <si>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</si>
  <si>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</si>
  <si>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</si>
  <si>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</si>
  <si>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</si>
  <si>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</si>
  <si>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</si>
  <si>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</si>
  <si>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</si>
  <si>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</si>
  <si>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</si>
  <si>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</si>
  <si>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</si>
  <si>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</si>
  <si>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</si>
  <si>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</si>
  <si>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</si>
  <si>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</si>
  <si>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</si>
  <si>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</si>
  <si>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</si>
  <si>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</si>
  <si>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</si>
  <si>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</si>
  <si>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</si>
  <si>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</si>
  <si>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</si>
  <si>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</si>
  <si>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</si>
  <si>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</si>
  <si>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</si>
  <si>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</si>
  <si>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</si>
  <si>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</si>
  <si>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</si>
  <si>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</si>
  <si>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</si>
  <si>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</si>
  <si>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</si>
  <si>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</si>
  <si>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</si>
  <si>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</si>
  <si>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</si>
  <si>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</si>
  <si>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</si>
  <si>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</si>
  <si>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</si>
  <si>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</si>
  <si>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</si>
  <si>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</si>
  <si>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</si>
  <si>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</si>
  <si>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</si>
  <si>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</si>
  <si>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</si>
  <si>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</si>
  <si>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</si>
  <si>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</si>
  <si>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</si>
  <si>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</si>
  <si>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</si>
  <si>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</si>
  <si>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</si>
  <si>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</si>
  <si>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</si>
  <si>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</si>
  <si>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</si>
  <si>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</si>
  <si>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</si>
  <si>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</si>
  <si>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</si>
  <si>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</si>
  <si>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</si>
  <si>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</si>
  <si>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</si>
  <si>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</si>
  <si>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</si>
  <si>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</si>
  <si>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</si>
  <si>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</si>
  <si>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</si>
  <si>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</si>
  <si>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</si>
  <si>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</si>
  <si>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</si>
  <si>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</si>
  <si>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</si>
  <si>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</si>
  <si>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</si>
  <si>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</si>
  <si>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</si>
  <si>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</si>
  <si>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</si>
  <si>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</si>
  <si>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</si>
  <si>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</si>
  <si>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</si>
  <si>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</si>
  <si>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</si>
  <si>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</si>
  <si>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</si>
  <si>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</si>
  <si>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</si>
  <si>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</si>
  <si>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</si>
  <si>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</si>
  <si>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</si>
  <si>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</si>
  <si>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</si>
  <si>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</si>
  <si>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</si>
  <si>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</si>
  <si>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</si>
  <si>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</si>
  <si>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</si>
  <si>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</si>
  <si>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</si>
  <si>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</si>
  <si>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</si>
  <si>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</si>
  <si>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</si>
  <si>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</si>
  <si>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</si>
  <si>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</si>
  <si>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</si>
  <si>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</si>
  <si>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</si>
  <si>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</si>
  <si>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</si>
  <si>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</si>
  <si>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</si>
  <si>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</si>
  <si>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</si>
  <si>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</si>
  <si>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</si>
  <si>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</si>
  <si>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</si>
  <si>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</si>
  <si>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</si>
  <si>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</si>
  <si>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</si>
  <si>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</si>
  <si>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</si>
  <si>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</si>
  <si>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</si>
  <si>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</si>
  <si>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</si>
  <si>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</si>
  <si>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</si>
  <si>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</si>
  <si>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</si>
  <si>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</si>
  <si>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</si>
  <si>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</si>
  <si>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</si>
  <si>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</si>
  <si>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</si>
  <si>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</si>
  <si>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</si>
  <si>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</si>
  <si>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</si>
  <si>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</si>
  <si>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</si>
  <si>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</si>
  <si>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</si>
  <si>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</si>
  <si>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</si>
  <si>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</si>
  <si>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</si>
  <si>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</si>
  <si>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</si>
  <si>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</si>
  <si>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</si>
  <si>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</si>
  <si>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</si>
  <si>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</si>
  <si>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</si>
  <si>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</si>
  <si>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</si>
  <si>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</si>
  <si>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</si>
  <si>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</si>
  <si>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</si>
  <si>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</si>
  <si>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</si>
  <si>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</si>
  <si>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</si>
  <si>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</si>
  <si>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</si>
  <si>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</si>
  <si>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</si>
  <si>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</si>
  <si>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</si>
  <si>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</si>
  <si>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</si>
  <si>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</si>
  <si>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</si>
  <si>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</si>
  <si>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</si>
  <si>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</si>
  <si>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</si>
  <si>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</si>
  <si>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</si>
  <si>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</si>
  <si>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</si>
  <si>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</si>
  <si>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</si>
  <si>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</si>
  <si>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</si>
  <si>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</si>
  <si>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</si>
  <si>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</si>
  <si>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</si>
  <si>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</si>
  <si>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</si>
  <si>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</si>
  <si>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</si>
  <si>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</si>
  <si>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</si>
  <si>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</si>
  <si>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</si>
  <si>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</si>
  <si>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</si>
  <si>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</si>
  <si>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</si>
  <si>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</si>
  <si>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</si>
  <si>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</si>
  <si>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</si>
  <si>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</si>
  <si>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</si>
  <si>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</si>
  <si>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</si>
  <si>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</si>
  <si>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</si>
  <si>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</si>
  <si>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</si>
  <si>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</si>
  <si>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</si>
  <si>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</si>
  <si>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</si>
  <si>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</si>
  <si>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</si>
  <si>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</si>
  <si>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</si>
  <si>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</si>
  <si>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</si>
  <si>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</si>
  <si>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</si>
  <si>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</si>
  <si>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</si>
  <si>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</si>
  <si>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</si>
  <si>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</si>
  <si>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</si>
  <si>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</si>
  <si>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</si>
  <si>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</si>
  <si>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</si>
  <si>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</si>
  <si>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</si>
  <si>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</si>
  <si>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</si>
  <si>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</si>
  <si>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</si>
  <si>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</si>
  <si>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</si>
  <si>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</si>
  <si>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</si>
  <si>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</si>
  <si>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</si>
  <si>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</si>
  <si>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</si>
  <si>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</si>
  <si>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</si>
  <si>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</si>
  <si>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</si>
  <si>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</si>
  <si>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</si>
  <si>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</si>
  <si>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</si>
  <si>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</si>
  <si>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</si>
  <si>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</si>
  <si>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</si>
  <si>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</si>
  <si>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</si>
  <si>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</si>
  <si>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</si>
  <si>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</si>
  <si>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</si>
  <si>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</si>
  <si>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</si>
  <si>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</si>
  <si>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</si>
  <si>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</si>
  <si>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</si>
  <si>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</si>
  <si>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</si>
  <si>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</si>
  <si>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</si>
  <si>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</si>
  <si>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</si>
  <si>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</si>
  <si>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</si>
  <si>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</si>
  <si>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</si>
  <si>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</si>
  <si>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</si>
  <si>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</si>
  <si>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</si>
  <si>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</si>
  <si>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</si>
  <si>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</si>
  <si>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</si>
  <si>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</si>
  <si>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</si>
  <si>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</si>
  <si>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</si>
  <si>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</si>
  <si>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</si>
  <si>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</si>
  <si>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</si>
  <si>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</si>
  <si>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</si>
  <si>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</si>
  <si>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</si>
  <si>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</si>
  <si>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</si>
  <si>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</si>
  <si>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</si>
  <si>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</si>
  <si>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</si>
  <si>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</si>
  <si>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</si>
  <si>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</si>
  <si>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</si>
  <si>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</si>
  <si>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</si>
  <si>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</si>
  <si>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</si>
  <si>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</si>
  <si>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</si>
  <si>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</si>
  <si>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</si>
  <si>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</si>
  <si>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</si>
  <si>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</si>
  <si>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</si>
  <si>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</si>
  <si>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</si>
  <si>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</si>
  <si>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</si>
  <si>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</si>
  <si>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</si>
  <si>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</si>
  <si>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</si>
  <si>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</si>
  <si>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</si>
  <si>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</si>
  <si>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</si>
  <si>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</si>
  <si>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</si>
  <si>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</si>
  <si>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</si>
  <si>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</si>
  <si>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</si>
  <si>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</si>
  <si>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</si>
  <si>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</si>
  <si>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</si>
  <si>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</si>
  <si>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</si>
  <si>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</si>
  <si>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</si>
  <si>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</si>
  <si>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</si>
  <si>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</si>
  <si>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</si>
  <si>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</si>
  <si>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</si>
  <si>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</si>
  <si>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</si>
  <si>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</si>
  <si>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</si>
  <si>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</si>
  <si>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</si>
  <si>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</si>
  <si>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</si>
  <si>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</si>
  <si>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</si>
  <si>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</si>
  <si>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</si>
  <si>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</si>
  <si>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</si>
  <si>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</si>
  <si>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</si>
  <si>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</si>
  <si>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</si>
  <si>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</si>
  <si>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</si>
  <si>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</si>
  <si>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</si>
  <si>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</si>
  <si>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</si>
  <si>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</si>
  <si>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</si>
  <si>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</si>
  <si>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</si>
  <si>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</si>
  <si>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</si>
  <si>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</si>
  <si>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</si>
  <si>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</si>
  <si>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</si>
  <si>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</si>
  <si>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</si>
  <si>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</si>
  <si>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</si>
  <si>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</si>
  <si>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</si>
  <si>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</si>
  <si>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</si>
  <si>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</si>
  <si>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</si>
  <si>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</si>
  <si>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</si>
  <si>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</si>
  <si>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</si>
  <si>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</si>
  <si>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</si>
  <si>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</si>
  <si>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</si>
  <si>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</si>
  <si>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</si>
  <si>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</si>
  <si>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</si>
  <si>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</si>
  <si>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</si>
  <si>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</si>
  <si>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</si>
  <si>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</si>
  <si>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</si>
  <si>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</si>
  <si>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</si>
  <si>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</si>
  <si>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</si>
  <si>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</si>
  <si>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</si>
  <si>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</si>
  <si>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</si>
  <si>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</si>
  <si>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</si>
  <si>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</si>
  <si>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</si>
  <si>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</si>
  <si>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</si>
  <si>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</si>
  <si>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</si>
  <si>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</si>
  <si>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</si>
  <si>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</si>
  <si>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</si>
  <si>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</si>
  <si>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</si>
  <si>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</si>
  <si>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</si>
  <si>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</si>
  <si>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</si>
  <si>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</si>
  <si>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</si>
  <si>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</si>
  <si>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</si>
  <si>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</si>
  <si>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</si>
  <si>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</si>
  <si>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</si>
  <si>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</si>
  <si>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</si>
  <si>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</si>
  <si>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</si>
  <si>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</si>
  <si>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</si>
  <si>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</si>
  <si>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</si>
  <si>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</si>
  <si>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</si>
  <si>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</si>
  <si>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</si>
  <si>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</si>
  <si>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</si>
  <si>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</si>
  <si>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</si>
  <si>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</si>
  <si>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</si>
  <si>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</si>
  <si>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</si>
  <si>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</si>
  <si>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</si>
  <si>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</si>
  <si>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</si>
  <si>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</si>
  <si>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</si>
  <si>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</si>
  <si>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</si>
  <si>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</si>
  <si>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</si>
  <si>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</si>
  <si>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</si>
  <si>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</si>
  <si>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</si>
  <si>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</si>
  <si>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</si>
  <si>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</si>
  <si>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</si>
  <si>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</si>
  <si>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</si>
  <si>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</si>
  <si>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</si>
  <si>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</si>
  <si>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</si>
  <si>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</si>
  <si>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</si>
  <si>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</si>
  <si>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</si>
  <si>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</si>
  <si>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</si>
  <si>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</si>
  <si>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</si>
  <si>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</si>
  <si>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</si>
  <si>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</si>
  <si>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</si>
  <si>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</si>
  <si>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</si>
  <si>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</si>
  <si>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</si>
  <si>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</si>
  <si>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</si>
  <si>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</si>
  <si>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</si>
  <si>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</si>
  <si>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</si>
  <si>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</si>
  <si>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</si>
  <si>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</si>
  <si>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</si>
  <si>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</si>
  <si>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</si>
  <si>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</si>
  <si>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</si>
  <si>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</si>
  <si>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</si>
  <si>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</si>
  <si>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</si>
  <si>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</si>
  <si>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</si>
  <si>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</si>
  <si>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</si>
  <si>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</si>
  <si>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</si>
  <si>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</si>
  <si>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</si>
  <si>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</si>
  <si>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</si>
  <si>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</si>
  <si>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</si>
  <si>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</si>
  <si>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</si>
  <si>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</si>
  <si>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</si>
  <si>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</si>
  <si>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</si>
  <si>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</si>
  <si>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</si>
  <si>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</si>
  <si>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</si>
  <si>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</si>
  <si>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</si>
  <si>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</si>
  <si>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</si>
  <si>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</si>
  <si>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</si>
  <si>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</si>
  <si>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</si>
  <si>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</si>
  <si>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</si>
  <si>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</si>
  <si>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</si>
  <si>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</si>
  <si>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</si>
  <si>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</si>
  <si>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</si>
  <si>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</si>
  <si>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</si>
  <si>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</si>
  <si>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</si>
  <si>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</si>
  <si>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</si>
  <si>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</si>
  <si>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</si>
  <si>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</si>
  <si>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</si>
  <si>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</si>
  <si>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</si>
  <si>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</si>
  <si>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</si>
  <si>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</si>
  <si>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</si>
  <si>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</si>
  <si>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</si>
  <si>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</si>
  <si>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</si>
  <si>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</si>
  <si>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</si>
  <si>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</si>
  <si>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</si>
  <si>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</si>
  <si>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</si>
  <si>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</si>
  <si>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</si>
  <si>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</si>
  <si>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</si>
  <si>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</si>
  <si>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</si>
  <si>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</si>
  <si>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</si>
  <si>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</si>
  <si>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</si>
  <si>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</si>
  <si>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</si>
  <si>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</si>
  <si>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</si>
  <si>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</si>
  <si>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</si>
  <si>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</si>
  <si>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</si>
  <si>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</si>
  <si>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</si>
  <si>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</si>
  <si>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</si>
  <si>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</si>
  <si>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</si>
  <si>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</si>
  <si>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</si>
  <si>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</si>
  <si>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</si>
  <si>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</si>
  <si>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</si>
  <si>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</si>
  <si>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</si>
  <si>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</si>
  <si>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</si>
  <si>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</si>
  <si>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</si>
  <si>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</si>
  <si>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</si>
  <si>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</si>
  <si>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</si>
  <si>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</si>
  <si>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</si>
  <si>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</si>
  <si>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</si>
  <si>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</si>
  <si>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</si>
  <si>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</si>
  <si>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</si>
  <si>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</si>
  <si>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</si>
  <si>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</si>
  <si>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</si>
  <si>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</si>
  <si>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</si>
  <si>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</si>
  <si>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</si>
  <si>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</si>
  <si>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</si>
  <si>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</si>
  <si>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</si>
  <si>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</si>
  <si>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</si>
  <si>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</si>
  <si>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</si>
  <si>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</si>
  <si>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</si>
  <si>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</si>
  <si>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</si>
  <si>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</si>
  <si>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</si>
  <si>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</si>
  <si>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</si>
  <si>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</si>
  <si>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</si>
  <si>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</si>
  <si>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</si>
  <si>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</si>
  <si>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</si>
  <si>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</si>
  <si>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</si>
  <si>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</si>
  <si>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</si>
  <si>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</si>
  <si>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</si>
  <si>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</si>
  <si>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</si>
  <si>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</si>
  <si>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</si>
  <si>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</si>
  <si>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</si>
  <si>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</si>
  <si>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</si>
  <si>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</si>
  <si>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</si>
  <si>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</si>
  <si>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</si>
  <si>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</si>
  <si>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</si>
  <si>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</si>
  <si>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</si>
  <si>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</si>
  <si>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</si>
  <si>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</si>
  <si>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</si>
  <si>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</si>
  <si>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</si>
  <si>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</si>
  <si>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</si>
  <si>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</si>
  <si>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</si>
  <si>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</si>
  <si>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</si>
  <si>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</si>
  <si>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</si>
  <si>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</si>
  <si>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</si>
  <si>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</si>
  <si>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</si>
  <si>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</si>
  <si>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</si>
  <si>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</si>
  <si>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</si>
  <si>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</si>
  <si>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</si>
  <si>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</si>
  <si>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</si>
  <si>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</si>
  <si>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</si>
  <si>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</si>
  <si>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</si>
  <si>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</si>
  <si>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</si>
  <si>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</si>
  <si>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</si>
  <si>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</si>
  <si>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</si>
  <si>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</si>
  <si>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</si>
  <si>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</si>
  <si>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</si>
  <si>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</si>
  <si>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</si>
  <si>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</si>
  <si>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</si>
  <si>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</si>
  <si>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</si>
  <si>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</si>
  <si>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</si>
  <si>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</si>
  <si>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</si>
  <si>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</si>
  <si>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</si>
  <si>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</si>
  <si>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</si>
  <si>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</si>
  <si>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</si>
  <si>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</si>
  <si>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</si>
  <si>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</si>
  <si>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</si>
  <si>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</si>
  <si>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</si>
  <si>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</si>
  <si>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</si>
  <si>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</si>
  <si>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</si>
  <si>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</si>
  <si>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</si>
  <si>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</si>
  <si>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</si>
  <si>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</si>
  <si>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</si>
  <si>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</si>
  <si>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</si>
  <si>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</si>
  <si>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</si>
  <si>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</si>
  <si>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</si>
  <si>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</si>
  <si>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</si>
  <si>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</si>
  <si>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</si>
  <si>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</si>
  <si>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</si>
  <si>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</si>
  <si>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</si>
  <si>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</si>
  <si>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</si>
  <si>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</si>
  <si>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</si>
  <si>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</si>
  <si>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</si>
  <si>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</si>
  <si>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</si>
  <si>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</si>
  <si>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</si>
  <si>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</si>
  <si>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</si>
  <si>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</si>
  <si>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</si>
  <si>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</si>
  <si>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</si>
  <si>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</si>
  <si>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</si>
  <si>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</si>
  <si>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</si>
  <si>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</si>
  <si>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</si>
  <si>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</si>
  <si>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</si>
  <si>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</si>
  <si>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</si>
  <si>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</si>
  <si>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</si>
  <si>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</si>
  <si>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</si>
  <si>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</si>
  <si>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</si>
  <si>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</si>
  <si>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</si>
  <si>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</si>
  <si>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</si>
  <si>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</si>
  <si>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</si>
  <si>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</si>
  <si>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</si>
  <si>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</si>
  <si>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</si>
  <si>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</si>
  <si>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</si>
  <si>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</si>
  <si>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</si>
  <si>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</si>
  <si>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</si>
  <si>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</si>
  <si>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</si>
  <si>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</si>
  <si>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</si>
  <si>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</si>
  <si>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</si>
  <si>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</si>
  <si>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</si>
  <si>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</si>
  <si>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</si>
  <si>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</si>
  <si>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</si>
  <si>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</si>
  <si>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</si>
  <si>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</si>
  <si>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</si>
  <si>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</si>
  <si>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</si>
  <si>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</si>
  <si>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</si>
  <si>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</si>
  <si>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</si>
  <si>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</si>
  <si>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</si>
  <si>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</si>
  <si>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</si>
  <si>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</si>
  <si>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</si>
  <si>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</si>
  <si>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</si>
  <si>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</si>
  <si>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</si>
  <si>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</si>
  <si>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</si>
  <si>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</si>
  <si>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</si>
  <si>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</si>
  <si>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</si>
  <si>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</si>
  <si>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</si>
  <si>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</si>
  <si>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</si>
  <si>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</si>
  <si>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</si>
  <si>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</si>
  <si>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</si>
  <si>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</si>
  <si>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</si>
  <si>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</si>
  <si>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</si>
  <si>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</si>
  <si>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</si>
  <si>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</si>
  <si>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</si>
  <si>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</si>
  <si>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</si>
  <si>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</si>
  <si>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</si>
  <si>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</si>
  <si>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</si>
  <si>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</si>
  <si>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</si>
  <si>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</si>
  <si>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</si>
  <si>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</si>
  <si>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</si>
  <si>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</si>
  <si>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</si>
  <si>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</si>
  <si>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</si>
  <si>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</si>
  <si>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</si>
  <si>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</si>
  <si>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</si>
  <si>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</si>
  <si>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</si>
  <si>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</si>
  <si>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</si>
  <si>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</si>
  <si>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</si>
  <si>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</si>
  <si>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</si>
  <si>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</si>
  <si>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</si>
  <si>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</si>
  <si>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</si>
  <si>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</si>
  <si>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</si>
  <si>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</si>
  <si>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</si>
  <si>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</si>
  <si>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</si>
  <si>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</si>
  <si>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</si>
  <si>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</si>
  <si>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</si>
  <si>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</si>
  <si>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</si>
  <si>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</si>
  <si>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</si>
  <si>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</si>
  <si>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</si>
  <si>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</si>
  <si>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</si>
  <si>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</si>
  <si>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</si>
  <si>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</si>
  <si>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</si>
  <si>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</si>
  <si>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</si>
  <si>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</si>
  <si>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</si>
  <si>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</si>
  <si>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</si>
  <si>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</si>
  <si>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</si>
  <si>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</si>
  <si>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</si>
  <si>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</si>
  <si>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</si>
  <si>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</si>
  <si>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</si>
  <si>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</si>
  <si>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</si>
  <si>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</si>
  <si>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</si>
  <si>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</si>
  <si>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</si>
  <si>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</si>
  <si>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</si>
  <si>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</si>
  <si>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</si>
  <si>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</si>
  <si>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</si>
  <si>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</si>
  <si>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</si>
  <si>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</si>
  <si>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</si>
  <si>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</si>
  <si>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</si>
  <si>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</si>
  <si>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</si>
  <si>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</si>
  <si>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</si>
  <si>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</si>
  <si>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</si>
  <si>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</si>
  <si>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</si>
  <si>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</si>
  <si>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</si>
  <si>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</si>
  <si>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</si>
  <si>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</si>
  <si>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</si>
  <si>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</si>
  <si>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</si>
  <si>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</si>
  <si>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</si>
  <si>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</si>
  <si>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</si>
  <si>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</si>
  <si>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</si>
  <si>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</si>
  <si>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</si>
  <si>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</si>
  <si>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</si>
  <si>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</si>
  <si>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</si>
  <si>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</si>
  <si>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</si>
  <si>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</si>
  <si>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</si>
  <si>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</si>
  <si>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</si>
  <si>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</si>
  <si>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</si>
  <si>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</si>
  <si>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</si>
  <si>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</si>
  <si>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</si>
  <si>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</si>
  <si>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</si>
  <si>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</si>
  <si>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</si>
  <si>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</si>
  <si>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</si>
  <si>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</si>
  <si>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</si>
  <si>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</si>
  <si>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</si>
  <si>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</si>
  <si>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</si>
  <si>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</si>
  <si>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</si>
  <si>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</si>
  <si>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</si>
  <si>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</si>
  <si>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</si>
  <si>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</si>
  <si>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</si>
  <si>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</si>
  <si>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</si>
  <si>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</si>
  <si>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</si>
  <si>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</si>
  <si>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</si>
  <si>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</si>
  <si>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</si>
  <si>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</si>
  <si>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</si>
  <si>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</si>
  <si>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</si>
  <si>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</si>
  <si>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</si>
  <si>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</si>
  <si>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</si>
  <si>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</si>
  <si>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</si>
  <si>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</si>
  <si>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</si>
  <si>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</si>
  <si>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</si>
  <si>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</si>
  <si>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</si>
  <si>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</si>
  <si>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</si>
  <si>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</si>
  <si>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</si>
  <si>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</si>
  <si>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</si>
  <si>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</si>
  <si>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</si>
  <si>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</si>
  <si>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</si>
  <si>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</si>
  <si>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</si>
  <si>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</si>
  <si>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</si>
  <si>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</si>
  <si>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</si>
  <si>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</si>
  <si>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</si>
  <si>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</si>
  <si>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</si>
  <si>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</si>
  <si>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</si>
  <si>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</si>
  <si>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</si>
  <si>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</si>
  <si>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</si>
  <si>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</si>
  <si>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</si>
  <si>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</si>
  <si>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</si>
  <si>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</si>
  <si>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</si>
  <si>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</si>
  <si>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</si>
  <si>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</si>
  <si>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</si>
  <si>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</si>
  <si>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</si>
  <si>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</si>
  <si>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</si>
  <si>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</si>
  <si>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</si>
  <si>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</si>
  <si>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</si>
  <si>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</si>
  <si>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</si>
  <si>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</si>
  <si>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</si>
  <si>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</si>
  <si>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</si>
  <si>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</si>
  <si>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</si>
  <si>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</si>
  <si>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</si>
  <si>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</si>
  <si>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</si>
  <si>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</si>
  <si>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</si>
  <si>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</si>
  <si>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</si>
  <si>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</si>
  <si>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</si>
  <si>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</si>
  <si>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</si>
  <si>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</si>
  <si>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</si>
  <si>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</si>
  <si>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</si>
  <si>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</si>
  <si>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</si>
  <si>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</si>
  <si>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</si>
  <si>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</si>
  <si>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</si>
  <si>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</si>
  <si>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</si>
  <si>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</si>
  <si>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</si>
  <si>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</si>
  <si>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</si>
  <si>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</si>
  <si>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</si>
  <si>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</si>
  <si>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</si>
  <si>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</si>
  <si>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</si>
  <si>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</si>
  <si>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</si>
  <si>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</si>
  <si>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</si>
  <si>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</si>
  <si>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</si>
  <si>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</si>
  <si>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</si>
  <si>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</si>
  <si>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</si>
  <si>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</si>
  <si>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</si>
  <si>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</si>
  <si>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</si>
  <si>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</si>
  <si>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</si>
  <si>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</si>
  <si>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</si>
  <si>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</si>
  <si>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</si>
  <si>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</si>
  <si>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</si>
  <si>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</si>
  <si>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</si>
  <si>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</si>
  <si>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</si>
  <si>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</si>
  <si>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</si>
  <si>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</si>
  <si>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</si>
  <si>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</si>
  <si>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</si>
  <si>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</si>
  <si>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</si>
  <si>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</si>
  <si>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</si>
  <si>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</si>
  <si>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</si>
  <si>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</si>
  <si>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</si>
  <si>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</si>
  <si>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</si>
  <si>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</si>
  <si>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</si>
  <si>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</si>
  <si>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</si>
  <si>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</si>
  <si>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</si>
  <si>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</si>
  <si>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</si>
  <si>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</si>
  <si>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</si>
  <si>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</si>
  <si>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</si>
  <si>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</si>
  <si>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</si>
  <si>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</si>
  <si>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</si>
  <si>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</si>
  <si>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</si>
  <si>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</si>
  <si>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</si>
  <si>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</si>
  <si>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</si>
  <si>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</si>
  <si>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</si>
  <si>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</si>
  <si>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</si>
  <si>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</si>
  <si>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</si>
  <si>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</si>
  <si>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</si>
  <si>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</si>
  <si>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</si>
  <si>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</si>
  <si>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</si>
  <si>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</si>
  <si>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</si>
  <si>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</si>
  <si>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</si>
  <si>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</si>
  <si>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</si>
  <si>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</si>
  <si>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</si>
  <si>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</si>
  <si>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</si>
  <si>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</si>
  <si>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</si>
  <si>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</si>
  <si>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</si>
  <si>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</si>
  <si>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</si>
  <si>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</si>
  <si>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</si>
  <si>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</si>
  <si>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</si>
  <si>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</si>
  <si>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</si>
  <si>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</si>
  <si>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</si>
  <si>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</si>
  <si>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</si>
  <si>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</si>
  <si>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</si>
  <si>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</si>
  <si>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</si>
  <si>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</si>
  <si>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</si>
  <si>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</si>
  <si>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</si>
  <si>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</si>
  <si>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</si>
  <si>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</si>
  <si>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</si>
  <si>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</si>
  <si>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</si>
  <si>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</si>
  <si>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</si>
  <si>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</si>
  <si>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</si>
  <si>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</si>
  <si>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</si>
  <si>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</si>
  <si>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</si>
  <si>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</si>
  <si>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</si>
  <si>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</si>
  <si>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</si>
  <si>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</si>
  <si>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</si>
  <si>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</si>
  <si>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</si>
  <si>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</si>
  <si>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</si>
  <si>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</si>
  <si>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</si>
  <si>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</si>
  <si>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</si>
  <si>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</si>
  <si>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</si>
  <si>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</si>
  <si>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</si>
  <si>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</si>
  <si>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</si>
  <si>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</si>
  <si>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</si>
  <si>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</si>
  <si>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</si>
  <si>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</si>
  <si>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</si>
  <si>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</si>
  <si>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</si>
  <si>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</si>
  <si>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</si>
  <si>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</si>
  <si>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</si>
  <si>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</si>
  <si>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</si>
  <si>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</si>
  <si>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</si>
  <si>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</si>
  <si>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</si>
  <si>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</si>
  <si>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</si>
  <si>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</si>
  <si>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</si>
  <si>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</si>
  <si>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</si>
  <si>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</si>
  <si>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</si>
  <si>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</si>
  <si>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</si>
  <si>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</si>
  <si>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</si>
  <si>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</si>
  <si>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</si>
  <si>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</si>
  <si>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</si>
  <si>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</si>
  <si>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</si>
  <si>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</si>
  <si>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</si>
  <si>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</si>
  <si>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</si>
  <si>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</si>
  <si>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</si>
  <si>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</si>
  <si>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</si>
  <si>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</si>
  <si>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</si>
  <si>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</si>
  <si>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</si>
  <si>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</si>
  <si>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</si>
  <si>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</si>
  <si>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</si>
  <si>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</si>
  <si>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</si>
  <si>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</si>
  <si>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</si>
  <si>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</si>
  <si>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</si>
  <si>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</si>
  <si>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</si>
  <si>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</si>
  <si>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</si>
  <si>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</si>
  <si>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</si>
  <si>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</si>
  <si>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</si>
  <si>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</si>
  <si>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</si>
  <si>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</si>
  <si>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</si>
  <si>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</si>
  <si>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</si>
  <si>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</si>
  <si>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</si>
  <si>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</si>
  <si>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</si>
  <si>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</si>
  <si>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</si>
  <si>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</si>
  <si>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</si>
  <si>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</si>
  <si>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</si>
  <si>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</si>
  <si>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</si>
  <si>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</si>
  <si>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</si>
  <si>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</si>
  <si>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</si>
  <si>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</si>
  <si>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</si>
  <si>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</si>
  <si>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</si>
  <si>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</si>
  <si>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</si>
  <si>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</si>
  <si>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</si>
  <si>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</si>
  <si>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</si>
  <si>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</si>
  <si>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</si>
  <si>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</si>
  <si>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</si>
  <si>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</si>
  <si>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</si>
  <si>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</si>
  <si>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</si>
  <si>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</si>
  <si>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</si>
  <si>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</si>
  <si>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</si>
  <si>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</si>
  <si>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</si>
  <si>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</si>
  <si>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</si>
  <si>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</si>
  <si>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</si>
  <si>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</si>
  <si>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</si>
  <si>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</si>
  <si>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</si>
  <si>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</si>
  <si>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</si>
  <si>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</si>
  <si>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</si>
  <si>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</si>
  <si>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</si>
  <si>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</si>
  <si>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</si>
  <si>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</si>
  <si>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</si>
  <si>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</si>
  <si>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</si>
  <si>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</si>
  <si>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</si>
  <si>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</si>
  <si>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</si>
  <si>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</si>
  <si>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</si>
  <si>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</si>
  <si>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</si>
  <si>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</si>
  <si>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</si>
  <si>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</si>
  <si>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</si>
  <si>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</si>
  <si>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</si>
  <si>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</si>
  <si>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</si>
  <si>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</si>
  <si>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</si>
  <si>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</si>
  <si>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</si>
  <si>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</si>
  <si>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</si>
  <si>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</si>
  <si>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</si>
  <si>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</si>
  <si>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</si>
  <si>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</si>
  <si>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</si>
  <si>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</si>
  <si>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</si>
  <si>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</si>
  <si>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</si>
  <si>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</si>
  <si>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</si>
  <si>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</si>
  <si>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</si>
  <si>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</si>
  <si>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</si>
  <si>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</si>
  <si>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</si>
  <si>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</si>
  <si>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</si>
  <si>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</si>
  <si>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</si>
  <si>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</si>
  <si>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</si>
  <si>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</si>
  <si>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</si>
  <si>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</si>
  <si>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</si>
  <si>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</si>
  <si>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</si>
  <si>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</si>
  <si>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</si>
  <si>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</si>
  <si>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</si>
  <si>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</si>
  <si>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</si>
  <si>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</si>
  <si>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</si>
  <si>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</si>
  <si>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</si>
  <si>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</si>
  <si>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</si>
  <si>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</si>
  <si>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</si>
  <si>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</si>
  <si>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</si>
  <si>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</si>
  <si>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</si>
  <si>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</si>
  <si>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</si>
  <si>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</si>
  <si>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</si>
  <si>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</si>
  <si>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</si>
  <si>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</si>
  <si>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</si>
  <si>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</si>
  <si>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</si>
  <si>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</si>
  <si>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</si>
  <si>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</si>
  <si>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</si>
  <si>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</si>
  <si>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</si>
  <si>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</si>
  <si>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</si>
  <si>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</si>
  <si>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</si>
  <si>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</si>
  <si>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</si>
  <si>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</si>
  <si>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</si>
  <si>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</si>
  <si>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</si>
  <si>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</si>
  <si>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</si>
  <si>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</si>
  <si>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</si>
  <si>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</si>
  <si>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</si>
  <si>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</si>
  <si>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</si>
  <si>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</si>
  <si>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</si>
  <si>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</si>
  <si>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</si>
  <si>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</si>
  <si>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</si>
  <si>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</si>
  <si>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</si>
  <si>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</si>
  <si>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</si>
  <si>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</si>
  <si>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</si>
  <si>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</si>
  <si>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</si>
  <si>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</si>
  <si>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</si>
  <si>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是</t>
  </si>
  <si>
    <t>地上</t>
  </si>
  <si>
    <t>地下</t>
  </si>
  <si>
    <r>
      <t>地下面积是1层的</t>
    </r>
    <r>
      <rPr>
        <sz val="11"/>
        <color theme="1"/>
        <rFont val="宋体"/>
        <family val="3"/>
        <charset val="134"/>
        <scheme val="minor"/>
      </rPr>
      <t>1.5倍</t>
    </r>
    <phoneticPr fontId="134" type="noConversion"/>
  </si>
  <si>
    <t>融慧园</t>
  </si>
  <si>
    <t>融慧园</t>
    <phoneticPr fontId="7" type="noConversion"/>
  </si>
  <si>
    <t>单套模式</t>
  </si>
  <si>
    <t>租金</t>
  </si>
  <si>
    <t>正常</t>
  </si>
  <si>
    <t>工业</t>
    <phoneticPr fontId="31" type="noConversion"/>
  </si>
  <si>
    <t>一般</t>
  </si>
  <si>
    <t>较好</t>
  </si>
  <si>
    <t>较差</t>
  </si>
  <si>
    <t>七通</t>
  </si>
  <si>
    <t>独栋办公</t>
  </si>
  <si>
    <t>独栋办公</t>
    <phoneticPr fontId="31" type="noConversion"/>
  </si>
  <si>
    <t>钢混</t>
  </si>
  <si>
    <t>钢混</t>
    <phoneticPr fontId="31" type="noConversion"/>
  </si>
  <si>
    <t>精装</t>
  </si>
  <si>
    <t>精装</t>
    <phoneticPr fontId="31" type="noConversion"/>
  </si>
  <si>
    <t>七通</t>
    <phoneticPr fontId="31" type="noConversion"/>
  </si>
  <si>
    <t>六通</t>
    <phoneticPr fontId="31" type="noConversion"/>
  </si>
  <si>
    <t>五通</t>
  </si>
  <si>
    <t>五通</t>
    <phoneticPr fontId="31" type="noConversion"/>
  </si>
  <si>
    <t>标准层高</t>
    <phoneticPr fontId="31" type="noConversion"/>
  </si>
  <si>
    <t>普装</t>
  </si>
  <si>
    <t>普装</t>
    <phoneticPr fontId="31" type="noConversion"/>
  </si>
  <si>
    <t>简装</t>
    <phoneticPr fontId="31" type="noConversion"/>
  </si>
  <si>
    <t>毛坯</t>
  </si>
  <si>
    <t>毛坯</t>
    <phoneticPr fontId="31" type="noConversion"/>
  </si>
  <si>
    <t>融慧园</t>
    <phoneticPr fontId="3" type="noConversion"/>
  </si>
  <si>
    <t>MAX泰达科技园</t>
    <phoneticPr fontId="3" type="noConversion"/>
  </si>
  <si>
    <t>地下面积占比</t>
    <phoneticPr fontId="31" type="noConversion"/>
  </si>
  <si>
    <r>
      <t>40-50</t>
    </r>
    <r>
      <rPr>
        <sz val="11"/>
        <rFont val="宋体"/>
        <family val="3"/>
        <charset val="134"/>
      </rPr>
      <t>（含）</t>
    </r>
    <phoneticPr fontId="31" type="noConversion"/>
  </si>
  <si>
    <r>
      <t>30-40</t>
    </r>
    <r>
      <rPr>
        <sz val="11"/>
        <rFont val="宋体"/>
        <family val="3"/>
        <charset val="134"/>
      </rPr>
      <t>（含）</t>
    </r>
    <phoneticPr fontId="31" type="noConversion"/>
  </si>
  <si>
    <r>
      <t>20-30</t>
    </r>
    <r>
      <rPr>
        <sz val="11"/>
        <rFont val="宋体"/>
        <family val="3"/>
        <charset val="134"/>
      </rPr>
      <t>（含）</t>
    </r>
    <phoneticPr fontId="31" type="noConversion"/>
  </si>
  <si>
    <r>
      <t>10-20</t>
    </r>
    <r>
      <rPr>
        <sz val="11"/>
        <rFont val="宋体"/>
        <family val="3"/>
        <charset val="134"/>
      </rPr>
      <t>（含）</t>
    </r>
    <phoneticPr fontId="31" type="noConversion"/>
  </si>
  <si>
    <r>
      <t>0-10</t>
    </r>
    <r>
      <rPr>
        <sz val="11"/>
        <rFont val="宋体"/>
        <family val="3"/>
        <charset val="134"/>
      </rPr>
      <t>（含）</t>
    </r>
    <phoneticPr fontId="31" type="noConversion"/>
  </si>
  <si>
    <t>0-10%</t>
    <phoneticPr fontId="31" type="noConversion"/>
  </si>
  <si>
    <t>10%-20%</t>
    <phoneticPr fontId="31" type="noConversion"/>
  </si>
  <si>
    <t>20%-30%</t>
    <phoneticPr fontId="31" type="noConversion"/>
  </si>
  <si>
    <t>上浮10%</t>
    <phoneticPr fontId="31" type="noConversion"/>
  </si>
  <si>
    <r>
      <rPr>
        <sz val="11"/>
        <rFont val="宋体"/>
        <family val="3"/>
        <charset val="134"/>
      </rPr>
      <t>下浮</t>
    </r>
    <r>
      <rPr>
        <sz val="11"/>
        <rFont val="Arial"/>
        <family val="2"/>
      </rPr>
      <t>10%</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</si>
</sst>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81" fontId="9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542343</xdr:colOff>
      <xdr:row>18</xdr:row>
      <xdr:rowOff>132991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657143" cy="2876191"/>
        </a:xfrm>
        <a:prstGeom prst="rect">
          <a:avLst/>
        </a:prstGeom>
      </xdr:spPr>
    </xdr:pic>
    <xdr:clientData/>
  </xdr:twoCellAnchor>
  <xdr:twoCellAnchor editAs="oneCell">
    <xdr:from>
      <xdr:col>1</xdr:col>
      <xdr:colOff>0</xdr:colOff>
      <xdr:row>24</xdr:row>
      <xdr:rowOff>0</xdr:rowOff>
    </xdr:from>
    <xdr:to>
      <xdr:col>10</xdr:col>
      <xdr:colOff>503991</xdr:colOff>
      <xdr:row>32</xdr:row>
      <xdr:rowOff>56972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6676191" cy="1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估价对象为北京市房地产，为所有。根据《国有土地使用证》[]，估价对象（分摊）出让国有建设用地使用权面积为0平方米，建筑面积为1454.05平方米。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估价对象为北京市房地产,属开发建设的，该项目尚在开发建设中。根据《国有土地使用证》[]，估价对象（分摊）出让国有建设用地使用权面积为0平方米，规划建筑面积为1454.05平方米。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2023年8月16日</v>
      </c>
    </row>
    <row r="13" spans="1:2" s="1203" customFormat="1">
      <c r="A13" s="1201" t="s">
        <v>529</v>
      </c>
      <c r="B13" s="1202"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1454.05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45154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3.34</v>
      </c>
      <c r="D5" s="3025">
        <f>IF(ISERROR(ROUND(POWER(1+E5,A5-C5)*(POWER(1+E5,C5)-1)/(POWER(1+E5,A5)-1),3)),0,ROUND(POWER(1+E5,A5-C5)*(POWER(1+E5,C5)-1)/(POWER(1+E5,A5)-1),4))</f>
        <v>0.15509999999999999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13.35</v>
      </c>
      <c r="D6" s="3025">
        <f>IF(ISERROR(ROUND(POWER(1+E6,A6-C6)*(POWER(1+E6,C6)-1)/(POWER(1+E6,A6)-1),3)),0,ROUND(POWER(1+E6,A6-C6)*(POWER(1+E6,C6)-1)/(POWER(1+E6,A6)-1),4))</f>
        <v>0.47439999999999999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33.36</v>
      </c>
      <c r="D7" s="3025">
        <f>IF(ISERROR(ROUND(POWER(1+E7,A7-C7)*(POWER(1+E7,C7)-1)/(POWER(1+E7,A7)-1),3)),0,ROUND(POWER(1+E7,A7-C7)*(POWER(1+E7,C7)-1)/(POWER(1+E7,A7)-1),4))</f>
        <v>0.77980000000000005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t="s">
        <v>3381</v>
      </c>
      <c r="F8" s="2392"/>
      <c r="G8" s="2663"/>
      <c r="H8" s="2663"/>
      <c r="I8" s="2663"/>
      <c r="J8" s="2439"/>
      <c r="K8" s="2614"/>
      <c r="L8" s="2613"/>
      <c r="M8" s="2613"/>
      <c r="N8" s="2439"/>
      <c r="O8" s="2450"/>
      <c r="P8" s="2439"/>
      <c r="Q8" s="2439"/>
      <c r="R8" s="2439"/>
    </row>
    <row r="9" spans="1:30" ht="13.5" thickBot="1">
      <c r="A9" s="2393" t="s">
        <v>2178</v>
      </c>
      <c r="B9" s="2394" t="s">
        <v>3382</v>
      </c>
      <c r="C9" s="2395"/>
      <c r="D9" s="350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1454.05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1454.05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1454.05</v>
      </c>
      <c r="H5" s="13">
        <f t="shared" ref="H5:AT5" si="0">SUM(H13:H656)</f>
        <v>1454.05</v>
      </c>
      <c r="I5" s="13">
        <f t="shared" si="0"/>
        <v>1118.5</v>
      </c>
      <c r="J5" s="13">
        <f t="shared" si="0"/>
        <v>0</v>
      </c>
      <c r="K5" s="13">
        <f t="shared" si="0"/>
        <v>335.54999999999995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1454.05</v>
      </c>
      <c r="BA5" s="15">
        <f t="shared" si="1"/>
        <v>1454.05</v>
      </c>
      <c r="BB5" s="15">
        <f t="shared" si="1"/>
        <v>1118.5</v>
      </c>
      <c r="BC5" s="15">
        <f t="shared" si="1"/>
        <v>335.54999999999995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1454.05</v>
      </c>
      <c r="H13" s="17">
        <f>SUMIF(I$12:AB$12,"总值",I13:AB13)</f>
        <v>1454.05</v>
      </c>
      <c r="I13" s="1626">
        <f>Sheet1!J9</f>
        <v>1118.5</v>
      </c>
      <c r="J13" s="1626"/>
      <c r="K13" s="1626">
        <f>Sheet1!K9</f>
        <v>335.54999999999995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1454.05</v>
      </c>
      <c r="BA13" s="13">
        <f>SUM(BB13:BK13)</f>
        <v>1454.05</v>
      </c>
      <c r="BB13" s="13">
        <f>IF($D13="是",I13-J13,0)</f>
        <v>1118.5</v>
      </c>
      <c r="BC13" s="13">
        <f>IF($D13="是",K13-L13,0)</f>
        <v>335.54999999999995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1454.05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1454.05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335.54999999999995</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1454.05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0</v>
      </c>
      <c r="E19" s="53">
        <f t="shared" ref="E19:E26" si="1">SUM(F19:G19)</f>
        <v>1454.05</v>
      </c>
      <c r="F19" s="2795">
        <f>'数据-基础表'!I13</f>
        <v>1118.5</v>
      </c>
      <c r="G19" s="2796">
        <f>'数据-基础表'!K13</f>
        <v>335.54999999999995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1454.05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1454.05</v>
      </c>
      <c r="F27" s="1140">
        <f>IF(SUM(F19:F26)=E8,SUM(F19:F26),"地上面积有误")</f>
        <v>1118.5</v>
      </c>
      <c r="G27" s="1142">
        <f>SUM(G19:G26)</f>
        <v>335.54999999999995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1454.05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1454.05</v>
      </c>
      <c r="F31" s="677">
        <f>F27+F30</f>
        <v>1118.5</v>
      </c>
      <c r="G31" s="678">
        <f>G27+G30</f>
        <v>335.54999999999995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融慧园</v>
      </c>
      <c r="B6" s="1713" t="str">
        <f>IF(A6=0,"","经营性")</f>
        <v>经营性</v>
      </c>
      <c r="C6" s="1714" t="s">
        <v>3</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1454.05</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1454.05</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0</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45154</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SUM(D14:D23)</f>
        <v>0</v>
      </c>
      <c r="C5" s="2512">
        <f ca="1">IF(B5=D14,结果表!H102,ROUND(B5*10000/$B$1,0))</f>
        <v>0</v>
      </c>
      <c r="D5" s="2512" t="e">
        <f>ROUND(B5*10000/$B$2,0)</f>
        <v>#DIV/0!</v>
      </c>
      <c r="E5" s="2686"/>
      <c r="F5" s="2687"/>
      <c r="G5" s="2687"/>
      <c r="H5" s="2688"/>
      <c r="I5" s="2688"/>
      <c r="J5" s="2688"/>
      <c r="K5" s="2688"/>
    </row>
    <row r="6" spans="1:11">
      <c r="A6" s="2512" t="s">
        <v>656</v>
      </c>
      <c r="B6" s="2512">
        <f>SUM(G14:G23)</f>
        <v>0</v>
      </c>
      <c r="C6" s="2512">
        <f ca="1">IF(B6=G14,结果表!H108,ROUND(B6*10000/$B$1,0))</f>
        <v>0</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3362</v>
      </c>
      <c r="D10" s="2512" t="s">
        <v>3363</v>
      </c>
      <c r="E10" s="3441"/>
      <c r="F10" s="3445" t="s">
        <v>3364</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c r="C14" s="2518"/>
      <c r="D14" s="2518"/>
      <c r="E14" s="2518" t="e">
        <f>ROUND(D14*10000/B14,0)</f>
        <v>#DIV/0!</v>
      </c>
      <c r="F14" s="2518" t="e">
        <f>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c r="D4" s="1756"/>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c r="D14" s="3576"/>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3" t="s">
        <v>2131</v>
      </c>
      <c r="F18" s="3564"/>
      <c r="G18" s="3564"/>
      <c r="H18" s="3564"/>
      <c r="I18" s="3564"/>
      <c r="K18" s="302" t="s">
        <v>1289</v>
      </c>
      <c r="L18" s="302">
        <f>IF(C1="",'数据-汇总表'!E3,SUMIF(项目类型,C1,'数据-汇总表'!E17:E26)+SUMIF(项目类型,C1,'数据-汇总表'!I17:I26))</f>
        <v>1454.05</v>
      </c>
      <c r="M18" s="302">
        <f>IF(C1="",'数据-汇总表'!E3,SUMIF(项目类型,C1,'数据-汇总表'!E17:E26))</f>
        <v>1454.05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45154</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t="str">
        <f ca="1">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0</v>
      </c>
      <c r="G52" s="2555"/>
      <c r="H52" s="2544"/>
      <c r="I52" s="1807"/>
      <c r="J52" s="2523">
        <v>1</v>
      </c>
      <c r="K52" s="3604" t="s">
        <v>1355</v>
      </c>
      <c r="L52" s="3604"/>
      <c r="M52" s="2525" t="b">
        <f>D48</f>
        <v>0</v>
      </c>
      <c r="N52" s="2523" t="str">
        <f>E48</f>
        <v>销售额×税（费）率</v>
      </c>
      <c r="O52" s="2526">
        <f>F48</f>
        <v>0</v>
      </c>
    </row>
    <row r="53" spans="1:35" ht="12" customHeight="1">
      <c r="A53" s="2335" t="s">
        <v>1356</v>
      </c>
      <c r="B53" s="3565" t="s">
        <v>2291</v>
      </c>
      <c r="C53" s="3566"/>
      <c r="D53" s="1087" t="e">
        <f ca="1">ROUND(D45*'数据-取费表'!B41/(1+'数据-取费表'!C42),0)</f>
        <v>#REF!</v>
      </c>
      <c r="E53" s="2334" t="s">
        <v>1354</v>
      </c>
      <c r="F53" s="2554">
        <f>'数据-取费表'!B41</f>
        <v>0</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0</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0</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f>C4</f>
        <v>0</v>
      </c>
      <c r="D101" s="2586">
        <f>D4</f>
        <v>0</v>
      </c>
      <c r="E101" s="3626" t="s">
        <v>1431</v>
      </c>
      <c r="F101" s="3583"/>
      <c r="G101" s="1827" t="s">
        <v>1432</v>
      </c>
      <c r="H101" s="2595" t="e">
        <f ca="1">H118</f>
        <v>#REF!</v>
      </c>
      <c r="I101" s="129"/>
    </row>
    <row r="102" spans="1:35" ht="18.75" customHeight="1">
      <c r="A102" s="3585" t="s">
        <v>1433</v>
      </c>
      <c r="B102" s="2584" t="s">
        <v>1432</v>
      </c>
      <c r="C102" s="2585" t="e">
        <f ca="1">IF(D32="楼面单价",ROUND(C19,0),C19)</f>
        <v>#REF!</v>
      </c>
      <c r="D102" s="2586" t="e">
        <f ca="1">IF(D32="楼面单价",ROUND(D19,0),D19)</f>
        <v>#REF!</v>
      </c>
      <c r="E102" s="3626"/>
      <c r="F102" s="3583"/>
      <c r="G102" s="1827" t="s">
        <v>1434</v>
      </c>
      <c r="H102" s="2555" t="e">
        <f ca="1">I118</f>
        <v>#REF!</v>
      </c>
      <c r="I102" s="129"/>
    </row>
    <row r="103" spans="1:35" ht="42.75" customHeight="1">
      <c r="A103" s="3585"/>
      <c r="B103" s="2584" t="s">
        <v>1434</v>
      </c>
      <c r="C103" s="2587" t="e">
        <f ca="1">C20</f>
        <v>#REF!</v>
      </c>
      <c r="D103" s="2588" t="e">
        <f ca="1">D20</f>
        <v>#REF!</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1454.05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1454.05</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1454.05</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1454.05</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1454.05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1454.05</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1454.05</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1454.05</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1454.05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1454.05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#VALUE!</v>
      </c>
      <c r="D45" s="3432" t="s">
        <v>3359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1454.05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1454.05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45154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5" zoomScale="80" zoomScaleNormal="70" zoomScaleSheetLayoutView="80" workbookViewId="0">
      <selection activeCell="C52" sqref="C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3389</v>
      </c>
      <c r="E1" s="3433"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0.2792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1.92</v>
      </c>
      <c r="C3" s="354" t="s">
        <v>1768</v>
      </c>
      <c r="D3" s="353">
        <f>IF(D1="",'数据-汇总表'!E3,SUMIF('数据-汇总表'!$C19:$C33,D1,'数据-汇总表'!$E19:$E33))</f>
        <v>1454.05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94" t="s">
        <v>3415</v>
      </c>
      <c r="F5" s="3707"/>
      <c r="G5" s="3795" t="s">
        <v>3416</v>
      </c>
      <c r="H5" s="3700"/>
      <c r="I5" s="3795" t="s">
        <v>3416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45154</v>
      </c>
      <c r="D7" s="365">
        <v>100</v>
      </c>
      <c r="E7" s="366">
        <f>C7</f>
        <v>45154</v>
      </c>
      <c r="F7" s="367">
        <f>SUMIF(59:59,YEAR(E7)&amp;"-"&amp;MONTH(E7),60:60)</f>
        <v>100</v>
      </c>
      <c r="G7" s="366">
        <f>C7</f>
        <v>45154</v>
      </c>
      <c r="H7" s="365">
        <f>SUMIF(59:59,YEAR(G7)&amp;"-"&amp;MONTH(G7),60:60)</f>
        <v>100</v>
      </c>
      <c r="I7" s="366">
        <f>C7</f>
        <v>45154</v>
      </c>
      <c r="J7" s="365">
        <f>SUMIF(59:59,YEAR(I7)&amp;"-"&amp;MONTH(I7),60:60)</f>
        <v>100</v>
      </c>
      <c r="K7" s="560"/>
      <c r="L7" s="2717"/>
      <c r="M7" s="2718"/>
      <c r="N7" s="2718"/>
      <c r="O7" s="2718"/>
      <c r="P7" s="372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1959">
        <f>D7/J7</f>
        <v>1</v>
      </c>
    </row>
    <row r="8" spans="1:29" s="108" customFormat="1" ht="15.75" thickBot="1">
      <c r="A8" s="362" t="s">
        <v>1681</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ht="15">
      <c r="A9" s="369" t="s">
        <v>1684</v>
      </c>
      <c r="B9" s="63" t="s">
        <v>1685</v>
      </c>
      <c r="C9" s="3790" t="s">
        <v>3394</v>
      </c>
      <c r="D9" s="126">
        <v>100</v>
      </c>
      <c r="E9" s="373" t="s">
        <v>3</v>
      </c>
      <c r="F9" s="126">
        <f>SUMIF(64:64,E9,65:65)-SUMIF(64:64,C9,65:65)+100</f>
        <v>100</v>
      </c>
      <c r="G9" s="373" t="s">
        <v>3</v>
      </c>
      <c r="H9" s="126">
        <f>SUMIF(64:64,G9,65:65)-SUMIF(64:64,C9,65:65)+100</f>
        <v>100</v>
      </c>
      <c r="I9" s="373" t="s">
        <v>3</v>
      </c>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t="s">
        <v>3396</v>
      </c>
      <c r="D18" s="401"/>
      <c r="E18" s="1964" t="s">
        <v>3396</v>
      </c>
      <c r="F18" s="401"/>
      <c r="G18" s="1964" t="s">
        <v>3396</v>
      </c>
      <c r="H18" s="399"/>
      <c r="I18" s="1964" t="s">
        <v>3396</v>
      </c>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98</v>
      </c>
      <c r="I19" s="408"/>
      <c r="J19" s="401">
        <f>SUMIF(81:81,I20,82:82)-SUMIF(81:81,C20,82:82)+100</f>
        <v>98</v>
      </c>
      <c r="K19" s="563">
        <v>2</v>
      </c>
      <c r="L19" s="2722"/>
      <c r="M19" s="2716"/>
      <c r="N19" s="2716"/>
      <c r="O19" s="2716"/>
      <c r="P19" s="3675"/>
      <c r="Q19" s="1352" t="str">
        <f>B19</f>
        <v>公共配套设施</v>
      </c>
      <c r="R19" s="705" t="s">
        <v>14</v>
      </c>
      <c r="S19" s="706">
        <f>F19</f>
        <v>100</v>
      </c>
      <c r="T19" s="705" t="s">
        <v>14</v>
      </c>
      <c r="U19" s="706">
        <f>H19</f>
        <v>98</v>
      </c>
      <c r="V19" s="705" t="s">
        <v>14</v>
      </c>
      <c r="W19" s="706">
        <f>J19</f>
        <v>98</v>
      </c>
      <c r="X19" s="1355"/>
      <c r="Y19" s="3668"/>
      <c r="Z19" s="1356" t="str">
        <f>Q19</f>
        <v>公共配套设施</v>
      </c>
      <c r="AA19" s="1353">
        <f t="shared" si="3"/>
        <v>1</v>
      </c>
      <c r="AB19" s="1353">
        <f t="shared" si="4"/>
        <v>1.0204081632653061</v>
      </c>
      <c r="AC19" s="1962">
        <f t="shared" si="5"/>
        <v>1.0204081632653061</v>
      </c>
    </row>
    <row r="20" spans="1:29" ht="15">
      <c r="A20" s="379"/>
      <c r="B20" s="580"/>
      <c r="C20" s="1904" t="s">
        <v>3395</v>
      </c>
      <c r="D20" s="399"/>
      <c r="E20" s="1904" t="s">
        <v>3395</v>
      </c>
      <c r="F20" s="399"/>
      <c r="G20" s="1898" t="s">
        <v>3397</v>
      </c>
      <c r="H20" s="399"/>
      <c r="I20" s="1898" t="s">
        <v>3397</v>
      </c>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1964" t="s">
        <v>3398</v>
      </c>
      <c r="F22" s="399"/>
      <c r="G22" s="1964" t="s">
        <v>3398</v>
      </c>
      <c r="H22" s="399"/>
      <c r="I22" s="1964" t="s">
        <v>3398</v>
      </c>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t="s">
        <v>3399</v>
      </c>
      <c r="D33" s="418">
        <v>100</v>
      </c>
      <c r="E33" s="1967" t="s">
        <v>3399</v>
      </c>
      <c r="F33" s="412">
        <f>SUMIF(101:101,E33,102:102)-SUMIF(101:101,C33,102:102)+100</f>
        <v>100</v>
      </c>
      <c r="G33" s="1967" t="s">
        <v>3399</v>
      </c>
      <c r="H33" s="386">
        <f>SUMIF(101:101,G33,102:102)-SUMIF(101:101,C33,102:102)+100</f>
        <v>100</v>
      </c>
      <c r="I33" s="1967" t="s">
        <v>3399</v>
      </c>
      <c r="J33" s="418">
        <f>SUMIF(101:101,I33,102:102)-SUMIF(101:101,C33,102:102)+100</f>
        <v>100</v>
      </c>
      <c r="K33" s="561">
        <v>2</v>
      </c>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f>'数据-基础表'!H13</f>
        <v>1454.05</v>
      </c>
      <c r="D34" s="127">
        <v>100</v>
      </c>
      <c r="E34" s="381">
        <v>1500</v>
      </c>
      <c r="F34" s="376">
        <f>LOOKUP(E34,104:104,105:105)-LOOKUP(C34,104:104,105:105)+100</f>
        <v>99</v>
      </c>
      <c r="G34" s="380">
        <v>883</v>
      </c>
      <c r="H34" s="127">
        <f>LOOKUP(G34,104:104,105:105)-LOOKUP(C34,104:104,105:105)+100</f>
        <v>101</v>
      </c>
      <c r="I34" s="380">
        <v>1071</v>
      </c>
      <c r="J34" s="127">
        <f>LOOKUP(I34,104:104,105:105)-LOOKUP(C34,104:104,105:105)+100</f>
        <v>100</v>
      </c>
      <c r="K34" s="562"/>
      <c r="L34" s="2721"/>
      <c r="M34" s="2723"/>
      <c r="N34" s="2723"/>
      <c r="O34" s="2723"/>
      <c r="P34" s="3670"/>
      <c r="Q34" s="707" t="str">
        <f t="shared" si="11"/>
        <v>项目建筑规模</v>
      </c>
      <c r="R34" s="708" t="s">
        <v>14</v>
      </c>
      <c r="S34" s="709">
        <f t="shared" si="12"/>
        <v>99</v>
      </c>
      <c r="T34" s="708" t="s">
        <v>14</v>
      </c>
      <c r="U34" s="709">
        <f t="shared" si="13"/>
        <v>101</v>
      </c>
      <c r="V34" s="708" t="s">
        <v>14</v>
      </c>
      <c r="W34" s="709">
        <f t="shared" si="14"/>
        <v>100</v>
      </c>
      <c r="X34" s="710"/>
      <c r="Y34" s="3672"/>
      <c r="Z34" s="711" t="str">
        <f t="shared" si="15"/>
        <v>项目建筑规模</v>
      </c>
      <c r="AA34" s="1353">
        <f t="shared" si="3"/>
        <v>1.0101010101010102</v>
      </c>
      <c r="AB34" s="1353">
        <f t="shared" si="4"/>
        <v>0.99009900990099009</v>
      </c>
      <c r="AC34" s="1962">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t="s">
        <v>3403</v>
      </c>
      <c r="D36" s="386">
        <v>100</v>
      </c>
      <c r="E36" s="411" t="s">
        <v>3403</v>
      </c>
      <c r="F36" s="412">
        <f>SUMIF(108:108,E36,109:109)-SUMIF(108:108,C36,109:109)+100</f>
        <v>100</v>
      </c>
      <c r="G36" s="411" t="s">
        <v>3403</v>
      </c>
      <c r="H36" s="386">
        <f>SUMIF(108:108,G36,109:109)-SUMIF(108:108,C36,109:109)+100</f>
        <v>100</v>
      </c>
      <c r="I36" s="411" t="s">
        <v>3403</v>
      </c>
      <c r="J36" s="386">
        <f>SUMIF(108:108,I36,109:109)-SUMIF(108:108,C36,109:109)+100</f>
        <v>100</v>
      </c>
      <c r="K36" s="561">
        <v>2</v>
      </c>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f>1-(2023-E51)/60</f>
        <v>0.66666666666666674</v>
      </c>
      <c r="D37" s="386">
        <v>100</v>
      </c>
      <c r="E37" s="425">
        <f>C37</f>
        <v>0.66666666666666674</v>
      </c>
      <c r="F37" s="412">
        <f>LOOKUP(E37,111:111,112:112)-LOOKUP(C37,111:111,112:112)+100</f>
        <v>100</v>
      </c>
      <c r="G37" s="425">
        <f>1-(2023-I51)/60</f>
        <v>0.83333333333333337</v>
      </c>
      <c r="H37" s="412">
        <f>LOOKUP(G37,111:111,112:112)-LOOKUP(C37,111:111,112:112)+100</f>
        <v>104</v>
      </c>
      <c r="I37" s="425">
        <f>G37</f>
        <v>0.83333333333333337</v>
      </c>
      <c r="J37" s="386">
        <f>LOOKUP(I37,111:111,112:112)-LOOKUP(C37,111:111,112:112)+100</f>
        <v>104</v>
      </c>
      <c r="K37" s="561">
        <v>2</v>
      </c>
      <c r="L37" s="2722"/>
      <c r="M37" s="2716"/>
      <c r="N37" s="2716"/>
      <c r="O37" s="2716"/>
      <c r="P37" s="3670"/>
      <c r="Q37" s="1352" t="str">
        <f t="shared" si="11"/>
        <v>成新度</v>
      </c>
      <c r="R37" s="705" t="s">
        <v>14</v>
      </c>
      <c r="S37" s="706">
        <f t="shared" si="12"/>
        <v>100</v>
      </c>
      <c r="T37" s="705" t="s">
        <v>14</v>
      </c>
      <c r="U37" s="706">
        <f t="shared" si="13"/>
        <v>104</v>
      </c>
      <c r="V37" s="705" t="s">
        <v>14</v>
      </c>
      <c r="W37" s="706">
        <f t="shared" si="14"/>
        <v>104</v>
      </c>
      <c r="X37" s="1355"/>
      <c r="Y37" s="3672"/>
      <c r="Z37" s="1356" t="str">
        <f t="shared" si="15"/>
        <v>成新度</v>
      </c>
      <c r="AA37" s="1353">
        <f t="shared" si="3"/>
        <v>1</v>
      </c>
      <c r="AB37" s="1353">
        <f t="shared" si="4"/>
        <v>0.96153846153846156</v>
      </c>
      <c r="AC37" s="1962">
        <f t="shared" si="5"/>
        <v>0.96153846153846156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t="s">
        <v>3407</v>
      </c>
      <c r="D40" s="386">
        <v>100</v>
      </c>
      <c r="E40" s="411" t="s">
        <v>3407</v>
      </c>
      <c r="F40" s="412">
        <f>SUMIF(117:117,E40,118:118)-SUMIF(117:117,C40,118:118)+100</f>
        <v>100</v>
      </c>
      <c r="G40" s="411" t="s">
        <v>3407</v>
      </c>
      <c r="H40" s="386">
        <f>SUMIF(117:117,G40,118:118)-SUMIF(117:117,C40,118:118)+100</f>
        <v>100</v>
      </c>
      <c r="I40" s="411" t="s">
        <v>3407</v>
      </c>
      <c r="J40" s="386">
        <f>SUMIF(117:117,I40,118:118)-SUMIF(117:117,C40,118:118)+100</f>
        <v>100</v>
      </c>
      <c r="K40" s="561">
        <v>1</v>
      </c>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t="s">
        <v>3413</v>
      </c>
      <c r="D43" s="386">
        <v>100</v>
      </c>
      <c r="E43" s="411" t="s">
        <v>3410</v>
      </c>
      <c r="F43" s="412">
        <f>SUMIF(123:123,E43,124:124)-SUMIF(123:123,C43,124:124)+100</f>
        <v>104</v>
      </c>
      <c r="G43" s="411" t="s">
        <v>3410</v>
      </c>
      <c r="H43" s="386">
        <f>SUMIF(123:123,G43,124:124)-SUMIF(123:123,C43,124:124)+100</f>
        <v>104</v>
      </c>
      <c r="I43" s="411" t="s">
        <v>3413</v>
      </c>
      <c r="J43" s="386">
        <f>SUMIF(123:123,I43,124:124)-SUMIF(123:123,C43,124:124)+100</f>
        <v>100</v>
      </c>
      <c r="K43" s="561">
        <v>2</v>
      </c>
      <c r="L43" s="2722"/>
      <c r="M43" s="2716"/>
      <c r="N43" s="2716"/>
      <c r="O43" s="2716"/>
      <c r="P43" s="3670"/>
      <c r="Q43" s="1352" t="str">
        <f t="shared" si="11"/>
        <v>内部装修</v>
      </c>
      <c r="R43" s="705" t="s">
        <v>14</v>
      </c>
      <c r="S43" s="706">
        <f t="shared" si="12"/>
        <v>104</v>
      </c>
      <c r="T43" s="705" t="s">
        <v>14</v>
      </c>
      <c r="U43" s="706">
        <f t="shared" si="13"/>
        <v>104</v>
      </c>
      <c r="V43" s="705" t="s">
        <v>14</v>
      </c>
      <c r="W43" s="706">
        <f t="shared" si="14"/>
        <v>100</v>
      </c>
      <c r="X43" s="1355"/>
      <c r="Y43" s="3672"/>
      <c r="Z43" s="1356" t="str">
        <f t="shared" si="15"/>
        <v>内部装修</v>
      </c>
      <c r="AA43" s="1353">
        <f t="shared" si="3"/>
        <v>0.96153846153846156</v>
      </c>
      <c r="AB43" s="1353">
        <f t="shared" si="4"/>
        <v>0.96153846153846156</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3796" t="s">
        <v>3417</v>
      </c>
      <c r="C45" s="420" t="s">
        <v>3425</v>
      </c>
      <c r="D45" s="127">
        <v>100</v>
      </c>
      <c r="E45" s="383" t="s">
        <v>3423</v>
      </c>
      <c r="F45" s="376">
        <f>SUMIF(127:127,E45,128:128)-SUMIF(127:127,C45,128:128)+100</f>
        <v>110</v>
      </c>
      <c r="G45" s="383" t="s">
        <v>3423</v>
      </c>
      <c r="H45" s="127">
        <f>SUMIF(127:127,G45,128:128)-SUMIF(127:127,C45,128:128)+100</f>
        <v>110</v>
      </c>
      <c r="I45" s="383" t="s">
        <v>3423</v>
      </c>
      <c r="J45" s="127">
        <f>SUMIF(127:127,I45,128:128)-SUMIF(127:127,C45,128:128)+100</f>
        <v>110</v>
      </c>
      <c r="K45" s="562"/>
      <c r="L45" s="2717"/>
      <c r="M45" s="2718"/>
      <c r="N45" s="2718"/>
      <c r="O45" s="2718"/>
      <c r="P45" s="3670"/>
      <c r="Q45" s="1343" t="str">
        <f t="shared" si="11"/>
        <v>地下面积占比</v>
      </c>
      <c r="R45" s="701" t="s">
        <v>14</v>
      </c>
      <c r="S45" s="702">
        <f t="shared" si="12"/>
        <v>110</v>
      </c>
      <c r="T45" s="701" t="s">
        <v>14</v>
      </c>
      <c r="U45" s="702">
        <f t="shared" si="13"/>
        <v>110</v>
      </c>
      <c r="V45" s="701" t="s">
        <v>14</v>
      </c>
      <c r="W45" s="702">
        <f t="shared" si="14"/>
        <v>110</v>
      </c>
      <c r="X45" s="703"/>
      <c r="Y45" s="3672"/>
      <c r="Z45" s="52" t="str">
        <f t="shared" si="15"/>
        <v>地下面积占比</v>
      </c>
      <c r="AA45" s="704">
        <f t="shared" si="3"/>
        <v>0.90909090909090906</v>
      </c>
      <c r="AB45" s="704">
        <f t="shared" si="4"/>
        <v>0.90909090909090906</v>
      </c>
      <c r="AC45" s="1959">
        <f t="shared" si="5"/>
        <v>0.90909090909090906</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f>2.8-0.4</f>
        <v>2.4</v>
      </c>
      <c r="F48" s="1157"/>
      <c r="G48" s="1158">
        <f>2.5-0.2</f>
        <v>2.2999999999999998</v>
      </c>
      <c r="H48" s="1159"/>
      <c r="I48" s="1156">
        <f>2.1-0.2</f>
        <v>1.9000000000000001</v>
      </c>
      <c r="J48" s="436"/>
      <c r="K48" s="714"/>
      <c r="L48" s="2724"/>
      <c r="M48" s="2716"/>
      <c r="N48" s="2716"/>
      <c r="O48" s="2716"/>
      <c r="P48" s="3676" t="str">
        <f>A48</f>
        <v>成交单价（元/平方米）</v>
      </c>
      <c r="Q48" s="3665"/>
      <c r="R48" s="3666">
        <f>E48</f>
        <v>2.4</v>
      </c>
      <c r="S48" s="3666"/>
      <c r="T48" s="3666">
        <f>G48</f>
        <v>2.2999999999999998</v>
      </c>
      <c r="U48" s="3666"/>
      <c r="V48" s="3666">
        <f>I48</f>
        <v>1.9000000000000001</v>
      </c>
      <c r="W48" s="3666"/>
      <c r="X48" s="397"/>
      <c r="Y48" s="712"/>
      <c r="Z48" s="397"/>
      <c r="AA48" s="397"/>
      <c r="AB48" s="397"/>
      <c r="AC48" s="578"/>
    </row>
    <row r="49" spans="1:29" ht="15.75" thickBot="1">
      <c r="A49" s="437" t="s">
        <v>1793</v>
      </c>
      <c r="B49" s="438"/>
      <c r="C49" s="1160">
        <f>R50</f>
        <v>1.92</v>
      </c>
      <c r="D49" s="2317" t="s">
        <v>2138</v>
      </c>
      <c r="E49" s="1161">
        <f>R49</f>
        <v>2.12</v>
      </c>
      <c r="F49" s="2318"/>
      <c r="G49" s="1160">
        <f>T49</f>
        <v>1.95</v>
      </c>
      <c r="H49" s="2318"/>
      <c r="I49" s="1161">
        <f>V49</f>
        <v>1.69</v>
      </c>
      <c r="J49" s="2318"/>
      <c r="K49" s="2320">
        <f>F49+H49+J49</f>
        <v>0</v>
      </c>
      <c r="L49" s="3797" t="s">
        <v>3426</v>
      </c>
      <c r="M49" s="3798">
        <f>C49*1.1</f>
        <v>2.1120000000000001</v>
      </c>
      <c r="N49" s="2716"/>
      <c r="O49" s="2716"/>
      <c r="P49" s="3676" t="str">
        <f>A49</f>
        <v>比较价值（元/平方米）</v>
      </c>
      <c r="Q49" s="3665"/>
      <c r="R49" s="3666">
        <f>IF(F1="售价",ROUND(PRODUCT(R48,AA7:AA47),0),ROUND(PRODUCT(R48,AA7:AA47),2))</f>
        <v>2.12</v>
      </c>
      <c r="S49" s="3666"/>
      <c r="T49" s="3666">
        <f>IF(F1="售价",ROUND(PRODUCT(T48,AB7:AB47),0),ROUND(PRODUCT(T48,AB7:AB47),2))</f>
        <v>1.95</v>
      </c>
      <c r="U49" s="3666"/>
      <c r="V49" s="3666">
        <f>IF(F1="售价",ROUND(PRODUCT(V48,AC7:AC47),0),ROUND(PRODUCT(V48,AC7:AC47),2))</f>
        <v>1.69</v>
      </c>
      <c r="W49" s="3666"/>
      <c r="X49" s="397"/>
      <c r="Y49" s="397"/>
      <c r="Z49" s="397"/>
      <c r="AA49" s="397"/>
      <c r="AB49" s="397"/>
      <c r="AC49" s="578"/>
    </row>
    <row r="50" spans="1:29" ht="15.75" thickBot="1">
      <c r="A50" s="441" t="s">
        <v>1794</v>
      </c>
      <c r="B50" s="442"/>
      <c r="C50" s="1163">
        <f>R50</f>
        <v>1.92</v>
      </c>
      <c r="D50" s="1163"/>
      <c r="E50" s="1163"/>
      <c r="F50" s="1163"/>
      <c r="G50" s="1163"/>
      <c r="H50" s="1163"/>
      <c r="I50" s="1163"/>
      <c r="J50" s="443"/>
      <c r="K50" s="715"/>
      <c r="L50" s="2724" t="s">
        <v>3427</v>
      </c>
      <c r="M50" s="2716">
        <f>ROUND(C49*0.9,2)</f>
        <v>1.73</v>
      </c>
      <c r="N50" s="2716"/>
      <c r="O50" s="2716"/>
      <c r="P50" s="3708" t="str">
        <f>A50</f>
        <v>估价对象XX用房的比较价值（楼面单价，元/平方米）</v>
      </c>
      <c r="Q50" s="3709"/>
      <c r="R50" s="3710">
        <f>IF(F1="售价",ROUND(IF(D49="简单平均",AVERAGE(R49:V49),R49*F49+T49*H49+V49*J49),0),ROUND(IF(D49="简单平均",AVERAGE(R49:V49),R49*F49+T49*H49+V49*J49),2))</f>
        <v>1.92</v>
      </c>
      <c r="S50" s="3710"/>
      <c r="T50" s="3710"/>
      <c r="U50" s="3710"/>
      <c r="V50" s="3710"/>
      <c r="W50" s="3710"/>
      <c r="X50" s="1946"/>
      <c r="Y50" s="1946"/>
      <c r="Z50" s="1946"/>
      <c r="AA50" s="1946"/>
      <c r="AB50" s="1946"/>
      <c r="AC50" s="1947"/>
    </row>
    <row r="51" spans="1:29">
      <c r="A51" s="2725"/>
      <c r="B51" s="2725"/>
      <c r="C51" s="2725">
        <f>C50+0.4</f>
        <v>2.3199999999999998</v>
      </c>
      <c r="D51" s="2725"/>
      <c r="E51" s="2725">
        <v>2003</v>
      </c>
      <c r="F51" s="2725"/>
      <c r="G51" s="2729"/>
      <c r="H51" s="2725"/>
      <c r="I51" s="2725">
        <v>2013</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v>2051</v>
      </c>
      <c r="C52" s="2725"/>
      <c r="D52" s="2725"/>
      <c r="E52" s="2725"/>
      <c r="F52" s="2725"/>
      <c r="G52" s="2725"/>
      <c r="H52" s="2725"/>
      <c r="I52" s="2725"/>
      <c r="J52" s="2725"/>
      <c r="K52" s="2730">
        <v>2061</v>
      </c>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f>2051-2023</f>
        <v>28</v>
      </c>
      <c r="C53" s="446" t="s">
        <v>1795</v>
      </c>
      <c r="D53" s="447"/>
      <c r="E53" s="448">
        <f>IF(E48&lt;E49,E49/E48-1,E48/E49-1)</f>
        <v>0.13207547169811318</v>
      </c>
      <c r="F53" s="449" t="str">
        <f>IF(OR(E53&gt;=0.3,E53&lt;=-0.3),"超过30%","")</f>
        <v/>
      </c>
      <c r="G53" s="448">
        <f>IF(G48&lt;G49,G49/G48-1,G48/G49-1)</f>
        <v>0.17948717948717952</v>
      </c>
      <c r="H53" s="449" t="str">
        <f>IF(OR(G53&gt;=0.3,G53&lt;=-0.3),"超过30%","")</f>
        <v/>
      </c>
      <c r="I53" s="448">
        <f>IF(I48&lt;I49,I49/I48-1,I48/I49-1)</f>
        <v>0.12426035502958599</v>
      </c>
      <c r="J53" s="449" t="str">
        <f>IF(OR(I53&gt;=0.3,I53&lt;=-0.3),"超过30%","")</f>
        <v/>
      </c>
      <c r="K53" s="2730">
        <f>K52-2023</f>
        <v>38</v>
      </c>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8.7179487179487314E-2</v>
      </c>
      <c r="F54" s="449" t="str">
        <f>IF(OR(E54&gt;=0.2,E54&lt;=-0.2),"超过20%","")</f>
        <v/>
      </c>
      <c r="G54" s="448">
        <f>IF(G49&lt;I49,I49/G49-1,G49/I49-1)</f>
        <v>0.15384615384615397</v>
      </c>
      <c r="H54" s="449" t="str">
        <f>IF(OR(G54&gt;=0.2,G54&lt;=-0.2),"超过20%","")</f>
        <v/>
      </c>
      <c r="I54" s="448">
        <f>IF(I49&lt;E49,E49/I49-1,I49/E49-1)</f>
        <v>0.2544378698224854</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4.3478260869565188E-2</v>
      </c>
      <c r="F55" s="449" t="str">
        <f>IF(OR(E55&gt;=0.3,E55&lt;=-0.3),"超过30%","")</f>
        <v/>
      </c>
      <c r="G55" s="448">
        <f>IF(G48&lt;I48,I48/G48-1,G48/I48-1)</f>
        <v>0.21052631578947345</v>
      </c>
      <c r="H55" s="449" t="str">
        <f>IF(OR(G55&gt;=0.3,G55&lt;=-0.3),"超过30%","")</f>
        <v/>
      </c>
      <c r="I55" s="448">
        <f>IF(I48&lt;E48,E48/I48-1,I48/E48-1)</f>
        <v>0.26315789473684204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工业</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3418</v>
      </c>
      <c r="D66" s="532" t="s">
        <v>3419</v>
      </c>
      <c r="E66" s="532" t="s">
        <v>3420</v>
      </c>
      <c r="F66" s="532" t="s">
        <v>3421</v>
      </c>
      <c r="G66" s="532" t="s">
        <v>3422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1" t="s">
        <v>3400</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3">D104&amp;"(含)"&amp;"-"&amp;E104</f>
        <v>500(含)-1000</v>
      </c>
      <c r="E103" s="527" t="str">
        <f t="shared" si="23"/>
        <v>1000(含)-1500</v>
      </c>
      <c r="F103" s="527" t="str">
        <f t="shared" si="23"/>
        <v>1500(含)-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2" t="s">
        <v>3402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2" t="s">
        <v>3404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792" t="s">
        <v>3405</v>
      </c>
      <c r="D117" s="3792" t="s">
        <v>3406</v>
      </c>
      <c r="E117" s="3792" t="s">
        <v>3408</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793" t="s">
        <v>3409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2" t="s">
        <v>3404</v>
      </c>
      <c r="D123" s="3792" t="s">
        <v>3411</v>
      </c>
      <c r="E123" s="3792" t="s">
        <v>3412</v>
      </c>
      <c r="F123" s="3793" t="s">
        <v>3414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地下面积占比</v>
      </c>
      <c r="C127" s="503" t="s">
        <v>3423</v>
      </c>
      <c r="D127" s="503" t="s">
        <v>3424</v>
      </c>
      <c r="E127" s="503" t="s">
        <v>3425</v>
      </c>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95</v>
      </c>
      <c r="E128" s="485">
        <v>90</v>
      </c>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1454.05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45154</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估价对象为北京市房地产，为所有。根据《国有土地使用证》[]，估价对象（分摊）出让国有建设用地使用权面积为0平方米，建筑面积为1454.05平方米。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1118.5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335.54999999999995</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1454.05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1118.5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335.54999999999995</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45154</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1454.05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1454.05</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1454.05</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45154</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45154</v>
      </c>
      <c r="D1" s="1302" t="s">
        <v>603</v>
      </c>
      <c r="E1" s="1297">
        <f>'数据-取费表'!B22</f>
        <v>0</v>
      </c>
      <c r="F1" s="1302" t="s">
        <v>604</v>
      </c>
      <c r="G1" s="1298" t="e">
        <f ca="1">INDIRECT("d"&amp;$K$1)/100</f>
        <v>#VALUE!</v>
      </c>
      <c r="H1" s="1302" t="s">
        <v>634</v>
      </c>
      <c r="I1" s="1298">
        <f ca="1">F4/100</f>
        <v>1.4999999999999999E-2</v>
      </c>
      <c r="J1" s="1303">
        <f>IF(C1&gt;C13,0,MATCH(C1,C$13:C$110,-1))+IF(SUMIF(C13:C110,C1,D13:D110)=0,13,12)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7:L9"/>
  <sheetViews>
    <sheetView workbookViewId="0">
      <selection activeCell="B25" sqref="B25"/>
    </sheetView>
  </sheetViews>
  <sheetFormatPr defaultRowHeight="13.5"/>
  <sheetData>
    <row r="7" spans="10:12">
      <c r="J7" s="3789" t="s">
        <v>3388</v>
      </c>
    </row>
    <row r="8" spans="10:12">
      <c r="J8">
        <f>1454.05/6.5</f>
        <v>223.7</v>
      </c>
    </row>
    <row r="9" spans="10:12">
      <c r="J9">
        <f>J8*5</f>
        <v>1118.5</v>
      </c>
      <c r="K9">
        <f>1454.05-J9</f>
        <v>335.54999999999995</v>
      </c>
      <c r="L9">
        <f>K9/1454.05</f>
        <v>0.23076923076923075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1454.05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2023-08-16T05:18:27Z</dcterms:modified>
</cp:coreProperties>
</file>