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46-玖瀛府项目和硅谷SOHO项目\"/>
    </mc:Choice>
  </mc:AlternateContent>
  <xr:revisionPtr revIDLastSave="0" documentId="13_ncr:1_{90D89E16-A2C5-407D-B0A3-25A3878F526F}" xr6:coauthVersionLast="47" xr6:coauthVersionMax="47" xr10:uidLastSave="{00000000-0000-0000-0000-000000000000}"/>
  <bookViews>
    <workbookView xWindow="-120" yWindow="-120" windowWidth="21840" windowHeight="13140" tabRatio="899" firstSheet="16"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0" r:id="rId14"/>
    <sheet name="拆分价值"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2" r:id="rId22"/>
    <sheet name="成本法" sheetId="68" r:id="rId23"/>
    <sheet name="成本法 (元)" sheetId="69" state="hidden"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典型户型修正" sheetId="31" r:id="rId32"/>
    <sheet name="收益法" sheetId="15" r:id="rId33"/>
    <sheet name="收益法车" sheetId="83" r:id="rId34"/>
    <sheet name="比较法-工业" sheetId="37" state="hidden" r:id="rId35"/>
    <sheet name="比较法-车位" sheetId="35"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6" i="31" l="1"/>
  <c r="B25" i="31"/>
  <c r="T5" i="31"/>
  <c r="Q72" i="83"/>
  <c r="Q59" i="83"/>
  <c r="K59" i="83"/>
  <c r="P74" i="83" s="1"/>
  <c r="F59" i="83"/>
  <c r="Q58" i="83"/>
  <c r="Q51" i="83"/>
  <c r="J50" i="83"/>
  <c r="M47" i="83"/>
  <c r="D46" i="83"/>
  <c r="F33" i="83"/>
  <c r="F61" i="83" s="1"/>
  <c r="F31" i="83"/>
  <c r="F23" i="83"/>
  <c r="D24" i="83" s="1"/>
  <c r="F21" i="83"/>
  <c r="F20" i="83"/>
  <c r="M19" i="83"/>
  <c r="F18" i="83"/>
  <c r="M17" i="83"/>
  <c r="F17" i="83"/>
  <c r="F15" i="83"/>
  <c r="D104" i="21"/>
  <c r="E104" i="21" s="1"/>
  <c r="F104" i="21" s="1"/>
  <c r="G104" i="21" s="1"/>
  <c r="D103" i="21"/>
  <c r="E103" i="21" s="1"/>
  <c r="F103" i="21" s="1"/>
  <c r="G103" i="21" s="1"/>
  <c r="D68" i="21"/>
  <c r="E68" i="21" s="1"/>
  <c r="F68" i="21" s="1"/>
  <c r="G68" i="21" s="1"/>
  <c r="H68" i="21" s="1"/>
  <c r="I68" i="21" s="1"/>
  <c r="C11" i="21"/>
  <c r="C38" i="39"/>
  <c r="E38" i="39"/>
  <c r="I7" i="39"/>
  <c r="G7" i="39"/>
  <c r="E7" i="39"/>
  <c r="D117" i="39"/>
  <c r="E117" i="39" s="1"/>
  <c r="F117" i="39" s="1"/>
  <c r="G117" i="39" s="1"/>
  <c r="D116" i="39"/>
  <c r="E116" i="39" s="1"/>
  <c r="F116" i="39" s="1"/>
  <c r="G116" i="39" s="1"/>
  <c r="D79" i="39"/>
  <c r="E79" i="39" s="1"/>
  <c r="F79" i="39" s="1"/>
  <c r="G79" i="39" s="1"/>
  <c r="H79" i="39" s="1"/>
  <c r="I79" i="39" s="1"/>
  <c r="I5" i="39"/>
  <c r="G5" i="39"/>
  <c r="E5" i="39"/>
  <c r="P61" i="83" l="1"/>
  <c r="D22" i="83"/>
  <c r="D23" i="83"/>
  <c r="AH9" i="1"/>
  <c r="N10" i="1"/>
  <c r="N9" i="1"/>
  <c r="N8" i="1"/>
  <c r="N7" i="1"/>
  <c r="L10" i="1" l="1"/>
  <c r="L9" i="1"/>
  <c r="L8" i="1"/>
  <c r="K13" i="3"/>
  <c r="F20" i="6" s="1"/>
  <c r="D65" i="80"/>
  <c r="C65" i="80"/>
  <c r="C64" i="80"/>
  <c r="E63" i="80"/>
  <c r="C63" i="80"/>
  <c r="E62" i="80"/>
  <c r="C62" i="80"/>
  <c r="E61" i="80"/>
  <c r="C61" i="80"/>
  <c r="I54" i="80"/>
  <c r="G54" i="80"/>
  <c r="O13" i="3" s="1"/>
  <c r="G22" i="6" s="1"/>
  <c r="F54" i="80"/>
  <c r="Q13" i="3" s="1"/>
  <c r="G23" i="6" s="1"/>
  <c r="E54" i="80"/>
  <c r="D54" i="80"/>
  <c r="I13" i="3" s="1"/>
  <c r="F19" i="6" s="1"/>
  <c r="C54" i="80"/>
  <c r="M13" i="3" s="1"/>
  <c r="F21" i="6" s="1"/>
  <c r="H53" i="80"/>
  <c r="H54" i="80" s="1"/>
  <c r="P52" i="80"/>
  <c r="J52" i="80"/>
  <c r="P51" i="80"/>
  <c r="J51" i="80"/>
  <c r="P50" i="80"/>
  <c r="J50" i="80"/>
  <c r="P49" i="80"/>
  <c r="J49" i="80"/>
  <c r="P48" i="80"/>
  <c r="J48" i="80"/>
  <c r="P47" i="80"/>
  <c r="J47" i="80"/>
  <c r="P46" i="80"/>
  <c r="J46" i="80"/>
  <c r="P45" i="80"/>
  <c r="J45" i="80"/>
  <c r="P44" i="80"/>
  <c r="J44" i="80"/>
  <c r="P43" i="80"/>
  <c r="J43" i="80"/>
  <c r="P42" i="80"/>
  <c r="J42" i="80"/>
  <c r="P41" i="80"/>
  <c r="J41" i="80"/>
  <c r="P40" i="80"/>
  <c r="J40" i="80"/>
  <c r="P39" i="80"/>
  <c r="J39" i="80"/>
  <c r="P38" i="80"/>
  <c r="J38" i="80"/>
  <c r="P37" i="80"/>
  <c r="J37" i="80"/>
  <c r="P36" i="80"/>
  <c r="J36" i="80"/>
  <c r="P35" i="80"/>
  <c r="J35" i="80"/>
  <c r="P34" i="80"/>
  <c r="J34" i="80"/>
  <c r="P33" i="80"/>
  <c r="J33" i="80"/>
  <c r="P32" i="80"/>
  <c r="J32" i="80"/>
  <c r="P31" i="80"/>
  <c r="J31" i="80"/>
  <c r="P30" i="80"/>
  <c r="J30" i="80"/>
  <c r="P29" i="80"/>
  <c r="J29" i="80"/>
  <c r="P28" i="80"/>
  <c r="J28" i="80"/>
  <c r="P27" i="80"/>
  <c r="J27" i="80"/>
  <c r="P26" i="80"/>
  <c r="J26" i="80"/>
  <c r="P25" i="80"/>
  <c r="J25" i="80"/>
  <c r="P24" i="80"/>
  <c r="J24" i="80"/>
  <c r="P23" i="80"/>
  <c r="J23" i="80"/>
  <c r="P22" i="80"/>
  <c r="J22" i="80"/>
  <c r="P21" i="80"/>
  <c r="J21" i="80"/>
  <c r="P20" i="80"/>
  <c r="Q47" i="80" s="1"/>
  <c r="D62" i="80" s="1"/>
  <c r="J20" i="80"/>
  <c r="P19" i="80"/>
  <c r="J19" i="80"/>
  <c r="P18" i="80"/>
  <c r="J18" i="80"/>
  <c r="P17" i="80"/>
  <c r="J17" i="80"/>
  <c r="P16" i="80"/>
  <c r="J16" i="80"/>
  <c r="P15" i="80"/>
  <c r="J15" i="80"/>
  <c r="P14" i="80"/>
  <c r="J14" i="80"/>
  <c r="P13" i="80"/>
  <c r="J13" i="80"/>
  <c r="P12" i="80"/>
  <c r="J12" i="80"/>
  <c r="P11" i="80"/>
  <c r="J11" i="80"/>
  <c r="P10" i="80"/>
  <c r="J10" i="80"/>
  <c r="P9" i="80"/>
  <c r="J9" i="80"/>
  <c r="P8" i="80"/>
  <c r="J8" i="80"/>
  <c r="P7" i="80"/>
  <c r="J7" i="80"/>
  <c r="P6" i="80"/>
  <c r="J6" i="80"/>
  <c r="P5" i="80"/>
  <c r="J5" i="80"/>
  <c r="P4" i="80"/>
  <c r="J4" i="80"/>
  <c r="P3" i="80"/>
  <c r="J3" i="80"/>
  <c r="P2" i="80"/>
  <c r="J2" i="80"/>
  <c r="G14" i="73"/>
  <c r="F14" i="73"/>
  <c r="E14" i="73"/>
  <c r="C66" i="80" l="1"/>
  <c r="J53" i="80"/>
  <c r="J54" i="80" s="1"/>
  <c r="Q19" i="80"/>
  <c r="D61" i="80" s="1"/>
  <c r="C58" i="80"/>
  <c r="Q52" i="80"/>
  <c r="D63"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59" i="80" l="1"/>
  <c r="A3" i="3" s="1"/>
  <c r="C33" i="2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T34" i="79"/>
  <c r="W34" i="79" s="1"/>
  <c r="AD41" i="79"/>
  <c r="AA28" i="79"/>
  <c r="AD28" i="79" s="1"/>
  <c r="U40"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P25" i="71"/>
  <c r="E24"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Q38" i="71"/>
  <c r="P38" i="71"/>
  <c r="O38" i="71"/>
  <c r="Y38" i="71" s="1"/>
  <c r="Z38" i="71" s="1"/>
  <c r="N38" i="71"/>
  <c r="Q37" i="71"/>
  <c r="P37" i="71"/>
  <c r="O37" i="71"/>
  <c r="N37" i="71"/>
  <c r="B38" i="71" s="1"/>
  <c r="D37" i="71"/>
  <c r="Q36" i="71"/>
  <c r="P36" i="71"/>
  <c r="O36" i="71"/>
  <c r="Y29" i="71" s="1"/>
  <c r="Z29" i="71" s="1"/>
  <c r="N36" i="71"/>
  <c r="Q35" i="71"/>
  <c r="AB35" i="71" s="1"/>
  <c r="P35" i="71"/>
  <c r="O35" i="71"/>
  <c r="N35" i="71"/>
  <c r="Q34" i="71"/>
  <c r="P34" i="71"/>
  <c r="O34" i="71"/>
  <c r="N34" i="71"/>
  <c r="Q33" i="71"/>
  <c r="P33" i="71"/>
  <c r="E34" i="71" s="1"/>
  <c r="O33" i="71"/>
  <c r="C34" i="71" s="1"/>
  <c r="N33" i="71"/>
  <c r="B34" i="71" s="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s="1"/>
  <c r="B32" i="71" s="1"/>
  <c r="S32" i="71" s="1"/>
  <c r="E30" i="71"/>
  <c r="E31" i="71" s="1"/>
  <c r="E32" i="71" s="1"/>
  <c r="U32" i="71" s="1"/>
  <c r="B39" i="71"/>
  <c r="B40" i="71" s="1"/>
  <c r="S40" i="71" s="1"/>
  <c r="E38" i="71"/>
  <c r="E39" i="71" s="1"/>
  <c r="E40" i="71" s="1"/>
  <c r="U40" i="71" s="1"/>
  <c r="N68" i="71"/>
  <c r="C30" i="71"/>
  <c r="D30" i="71" s="1"/>
  <c r="AA38" i="71"/>
  <c r="B28" i="71"/>
  <c r="P28" i="71"/>
  <c r="U68" i="71"/>
  <c r="E67" i="71"/>
  <c r="Q28" i="71"/>
  <c r="AB27" i="71" s="1"/>
  <c r="D58" i="71"/>
  <c r="C63" i="71"/>
  <c r="D62" i="71"/>
  <c r="T68" i="71"/>
  <c r="C67" i="71"/>
  <c r="D72" i="71"/>
  <c r="E79" i="71"/>
  <c r="E78" i="71" s="1"/>
  <c r="D80" i="71"/>
  <c r="C87" i="71"/>
  <c r="C86" i="71" s="1"/>
  <c r="D86" i="71" s="1"/>
  <c r="AB28" i="71"/>
  <c r="D87" i="71"/>
  <c r="D59" i="71"/>
  <c r="P67" i="71"/>
  <c r="E66" i="71"/>
  <c r="D60"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F21" i="21"/>
  <c r="AA21" i="21" s="1"/>
  <c r="D81" i="21"/>
  <c r="G20" i="20"/>
  <c r="C22" i="20"/>
  <c r="B100" i="43" s="1"/>
  <c r="C29" i="39"/>
  <c r="H25" i="40"/>
  <c r="AB25" i="40" s="1"/>
  <c r="J25" i="40"/>
  <c r="H29" i="39"/>
  <c r="J29" i="39"/>
  <c r="AC29" i="39" s="1"/>
  <c r="J18" i="36"/>
  <c r="AC18" i="36" s="1"/>
  <c r="H18" i="35"/>
  <c r="AB18" i="35" s="1"/>
  <c r="J18" i="35"/>
  <c r="AC18" i="35" s="1"/>
  <c r="H21" i="37"/>
  <c r="U21" i="37" s="1"/>
  <c r="F21" i="37"/>
  <c r="H21" i="34"/>
  <c r="AB21" i="34" s="1"/>
  <c r="H21" i="33"/>
  <c r="U21" i="33" s="1"/>
  <c r="F21" i="33"/>
  <c r="AA21" i="33" s="1"/>
  <c r="E83" i="21"/>
  <c r="F83" i="21" s="1"/>
  <c r="G83" i="21" s="1"/>
  <c r="H1" i="69"/>
  <c r="W18" i="36"/>
  <c r="U21" i="34"/>
  <c r="AB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J51" i="8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89" i="31"/>
  <c r="E293" i="31"/>
  <c r="E297" i="31"/>
  <c r="E298" i="31"/>
  <c r="E301" i="31"/>
  <c r="E302" i="31"/>
  <c r="E305" i="31"/>
  <c r="E306" i="31"/>
  <c r="E309" i="31"/>
  <c r="E310" i="31"/>
  <c r="E313" i="31"/>
  <c r="E314" i="31"/>
  <c r="E317" i="31"/>
  <c r="E318" i="31"/>
  <c r="E321" i="31"/>
  <c r="E322" i="31"/>
  <c r="E325" i="31"/>
  <c r="E326" i="31"/>
  <c r="E329" i="31"/>
  <c r="E330" i="31"/>
  <c r="E333" i="31"/>
  <c r="E334" i="31"/>
  <c r="E337" i="31"/>
  <c r="E338" i="31"/>
  <c r="E341" i="31"/>
  <c r="E342" i="31"/>
  <c r="E345" i="31"/>
  <c r="E346" i="31"/>
  <c r="E349" i="31"/>
  <c r="E350" i="31"/>
  <c r="E353" i="31"/>
  <c r="E354" i="31"/>
  <c r="E357" i="31"/>
  <c r="E358" i="31"/>
  <c r="E361" i="31"/>
  <c r="E362" i="31"/>
  <c r="E365" i="31"/>
  <c r="E366" i="31"/>
  <c r="E367"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D112" i="34"/>
  <c r="E112" i="34" s="1"/>
  <c r="F112" i="34" s="1"/>
  <c r="G112" i="34" s="1"/>
  <c r="H112" i="34" s="1"/>
  <c r="I112" i="34" s="1"/>
  <c r="J112" i="34" s="1"/>
  <c r="K112" i="34" s="1"/>
  <c r="L112" i="34" s="1"/>
  <c r="M112" i="34" s="1"/>
  <c r="F40" i="33"/>
  <c r="S40" i="33" s="1"/>
  <c r="J41" i="33"/>
  <c r="AC41" i="33" s="1"/>
  <c r="D113" i="33"/>
  <c r="F37" i="33"/>
  <c r="D111" i="33"/>
  <c r="E111" i="33" s="1"/>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s="1"/>
  <c r="G68" i="36"/>
  <c r="D64" i="36"/>
  <c r="E64" i="36" s="1"/>
  <c r="F64" i="36" s="1"/>
  <c r="G64" i="36"/>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s="1"/>
  <c r="Q24" i="36"/>
  <c r="Z24" i="36" s="1"/>
  <c r="Q23" i="36"/>
  <c r="Z23" i="36"/>
  <c r="J23" i="36"/>
  <c r="AC23" i="36" s="1"/>
  <c r="F23" i="36"/>
  <c r="AA23" i="36"/>
  <c r="Q22" i="36"/>
  <c r="Z22" i="36" s="1"/>
  <c r="J22" i="36"/>
  <c r="AC22" i="36" s="1"/>
  <c r="Q20" i="36"/>
  <c r="Z20" i="36" s="1"/>
  <c r="Q16" i="36"/>
  <c r="Z16" i="36"/>
  <c r="Q14" i="36"/>
  <c r="Z14" i="36" s="1"/>
  <c r="Q13" i="36"/>
  <c r="Z13" i="36"/>
  <c r="Q12" i="36"/>
  <c r="Z12" i="36" s="1"/>
  <c r="H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B61" i="35"/>
  <c r="B59" i="35"/>
  <c r="B131" i="34"/>
  <c r="B129" i="34"/>
  <c r="B127" i="34"/>
  <c r="B99" i="34"/>
  <c r="H32" i="34" s="1"/>
  <c r="U32" i="34" s="1"/>
  <c r="B97" i="34"/>
  <c r="B95" i="34"/>
  <c r="B93" i="34"/>
  <c r="J29" i="34" s="1"/>
  <c r="B75" i="34"/>
  <c r="J14" i="34" s="1"/>
  <c r="W14" i="34" s="1"/>
  <c r="B73" i="34"/>
  <c r="B71" i="34"/>
  <c r="J12" i="34" s="1"/>
  <c r="W12" i="34" s="1"/>
  <c r="B130" i="33"/>
  <c r="B128" i="33"/>
  <c r="F45" i="33" s="1"/>
  <c r="B126" i="33"/>
  <c r="B98" i="33"/>
  <c r="B96" i="33"/>
  <c r="B94" i="33"/>
  <c r="H29" i="33" s="1"/>
  <c r="U29" i="33" s="1"/>
  <c r="B74" i="33"/>
  <c r="B72" i="33"/>
  <c r="B70" i="33"/>
  <c r="J12" i="33"/>
  <c r="W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AB34" i="35"/>
  <c r="Q33" i="35"/>
  <c r="Z33" i="35"/>
  <c r="Q32" i="35"/>
  <c r="Z32" i="35" s="1"/>
  <c r="H32" i="35"/>
  <c r="AB32" i="35" s="1"/>
  <c r="F32" i="35"/>
  <c r="AA32" i="35" s="1"/>
  <c r="Q31" i="35"/>
  <c r="Z31" i="35" s="1"/>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F91" i="33" s="1"/>
  <c r="G91" i="33" s="1"/>
  <c r="H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J19" i="21" s="1"/>
  <c r="D77" i="21"/>
  <c r="E77" i="21" s="1"/>
  <c r="B130" i="21"/>
  <c r="H46" i="21" s="1"/>
  <c r="U46" i="21" s="1"/>
  <c r="B128" i="21"/>
  <c r="B126" i="21"/>
  <c r="J44" i="21" s="1"/>
  <c r="AC44" i="21" s="1"/>
  <c r="B98" i="21"/>
  <c r="H31" i="21" s="1"/>
  <c r="AB31" i="21" s="1"/>
  <c r="B96" i="21"/>
  <c r="B94" i="21"/>
  <c r="J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F45" i="39"/>
  <c r="S45" i="39" s="1"/>
  <c r="J45" i="39"/>
  <c r="W45" i="39" s="1"/>
  <c r="F36" i="39"/>
  <c r="S36" i="39" s="1"/>
  <c r="H36" i="39"/>
  <c r="AB36" i="39" s="1"/>
  <c r="J35" i="39"/>
  <c r="AC35" i="39" s="1"/>
  <c r="J36" i="39"/>
  <c r="AC36" i="39" s="1"/>
  <c r="W40" i="39"/>
  <c r="W25" i="37"/>
  <c r="W31" i="37"/>
  <c r="F103" i="37"/>
  <c r="G103" i="37" s="1"/>
  <c r="H103" i="37" s="1"/>
  <c r="I103" i="37" s="1"/>
  <c r="J103" i="37" s="1"/>
  <c r="K103" i="37" s="1"/>
  <c r="L103" i="37" s="1"/>
  <c r="M103" i="37" s="1"/>
  <c r="F39" i="37"/>
  <c r="S39" i="37" s="1"/>
  <c r="F29" i="36"/>
  <c r="AA29" i="36" s="1"/>
  <c r="F16" i="36"/>
  <c r="AA16" i="36" s="1"/>
  <c r="W28" i="36"/>
  <c r="U31" i="36"/>
  <c r="H22" i="35"/>
  <c r="AB22" i="35"/>
  <c r="AC27" i="35"/>
  <c r="U31" i="35"/>
  <c r="W22" i="35"/>
  <c r="S31" i="35"/>
  <c r="U34" i="35"/>
  <c r="F36" i="34"/>
  <c r="J35" i="34"/>
  <c r="AC35" i="34" s="1"/>
  <c r="U34" i="34"/>
  <c r="H39" i="33"/>
  <c r="AB39" i="33"/>
  <c r="F26" i="33"/>
  <c r="AA26" i="33" s="1"/>
  <c r="U35" i="33"/>
  <c r="W33" i="33"/>
  <c r="W39" i="33"/>
  <c r="H39" i="37"/>
  <c r="AB39" i="37" s="1"/>
  <c r="S27" i="35"/>
  <c r="F11" i="40"/>
  <c r="AA11" i="40"/>
  <c r="H11" i="40"/>
  <c r="AB11" i="40" s="1"/>
  <c r="AA9" i="40"/>
  <c r="U9" i="40"/>
  <c r="W31" i="40"/>
  <c r="F42" i="39"/>
  <c r="AA42" i="39" s="1"/>
  <c r="F41" i="39"/>
  <c r="S41" i="39" s="1"/>
  <c r="H40" i="39"/>
  <c r="AB40" i="39" s="1"/>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W17" i="39" s="1"/>
  <c r="J27" i="39"/>
  <c r="AC27" i="39" s="1"/>
  <c r="F27" i="39"/>
  <c r="AA27" i="39" s="1"/>
  <c r="F11" i="21"/>
  <c r="S11" i="21" s="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C12" i="34"/>
  <c r="W32" i="40"/>
  <c r="F37" i="39"/>
  <c r="AA37" i="39" s="1"/>
  <c r="J34" i="36"/>
  <c r="W34" i="36" s="1"/>
  <c r="J30" i="35"/>
  <c r="W30" i="35" s="1"/>
  <c r="H30" i="35"/>
  <c r="AB30" i="35" s="1"/>
  <c r="F22" i="35"/>
  <c r="AA22" i="35" s="1"/>
  <c r="H10" i="35"/>
  <c r="U10" i="35" s="1"/>
  <c r="F33" i="36"/>
  <c r="AA33" i="36" s="1"/>
  <c r="H16" i="36"/>
  <c r="AB16"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S19" i="34" s="1"/>
  <c r="H17" i="34"/>
  <c r="F15" i="34"/>
  <c r="AA15" i="34" s="1"/>
  <c r="J15" i="34"/>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J44" i="34"/>
  <c r="W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s="1"/>
  <c r="J46" i="21"/>
  <c r="E119" i="21"/>
  <c r="F119" i="21" s="1"/>
  <c r="G119" i="21" s="1"/>
  <c r="H119" i="21" s="1"/>
  <c r="I119" i="21" s="1"/>
  <c r="J119" i="21" s="1"/>
  <c r="K119" i="21" s="1"/>
  <c r="L119" i="21" s="1"/>
  <c r="M119" i="21" s="1"/>
  <c r="H26" i="33"/>
  <c r="AB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H13" i="33"/>
  <c r="U13" i="33" s="1"/>
  <c r="F13" i="33"/>
  <c r="S13" i="33" s="1"/>
  <c r="J31" i="33"/>
  <c r="W31" i="33" s="1"/>
  <c r="H31" i="33"/>
  <c r="F31" i="33"/>
  <c r="J45" i="33"/>
  <c r="W45" i="33" s="1"/>
  <c r="H30" i="34"/>
  <c r="F30" i="34"/>
  <c r="S30" i="34"/>
  <c r="J30"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AC12" i="40"/>
  <c r="H14" i="33"/>
  <c r="U14" i="33" s="1"/>
  <c r="F14" i="33"/>
  <c r="S14" i="33" s="1"/>
  <c r="J14" i="33"/>
  <c r="H30" i="33"/>
  <c r="AB30" i="33" s="1"/>
  <c r="F30" i="33"/>
  <c r="J30" i="33"/>
  <c r="AC30" i="33" s="1"/>
  <c r="H44" i="33"/>
  <c r="J44" i="33"/>
  <c r="AC44" i="33" s="1"/>
  <c r="F44" i="33"/>
  <c r="S44" i="33" s="1"/>
  <c r="J46" i="33"/>
  <c r="AC46" i="33" s="1"/>
  <c r="F46" i="33"/>
  <c r="AA46" i="33" s="1"/>
  <c r="H46" i="33"/>
  <c r="AB46" i="33" s="1"/>
  <c r="H13" i="34"/>
  <c r="U13" i="34" s="1"/>
  <c r="J13" i="34"/>
  <c r="W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H43" i="39"/>
  <c r="J14" i="39"/>
  <c r="AC14" i="39" s="1"/>
  <c r="F14" i="39"/>
  <c r="H14" i="39"/>
  <c r="AB14" i="39" s="1"/>
  <c r="F12" i="40"/>
  <c r="S12" i="40" s="1"/>
  <c r="H12" i="40"/>
  <c r="U12" i="40" s="1"/>
  <c r="AB12" i="40"/>
  <c r="H30" i="40"/>
  <c r="AB30" i="40" s="1"/>
  <c r="F33" i="40"/>
  <c r="AA33" i="40"/>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s="1"/>
  <c r="J14" i="40"/>
  <c r="W14" i="40" s="1"/>
  <c r="F14" i="40"/>
  <c r="AA14" i="40" s="1"/>
  <c r="J14" i="37"/>
  <c r="J27" i="37"/>
  <c r="AC27" i="37"/>
  <c r="U46" i="33"/>
  <c r="J36" i="37"/>
  <c r="AC36" i="37"/>
  <c r="J10" i="36"/>
  <c r="AC10" i="36" s="1"/>
  <c r="AB46" i="34"/>
  <c r="AC28" i="21"/>
  <c r="F15" i="21"/>
  <c r="S15" i="21" s="1"/>
  <c r="J41" i="39"/>
  <c r="W41" i="39" s="1"/>
  <c r="S35"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542" i="3"/>
  <c r="BL522" i="3"/>
  <c r="BL494" i="3"/>
  <c r="BL582" i="3"/>
  <c r="BL578" i="3"/>
  <c r="BL574" i="3"/>
  <c r="BL570" i="3"/>
  <c r="BL566" i="3"/>
  <c r="BL562" i="3"/>
  <c r="BL556" i="3"/>
  <c r="BL552" i="3"/>
  <c r="AZ552" i="3" s="1"/>
  <c r="G533" i="3"/>
  <c r="BL532" i="3"/>
  <c r="G525" i="3"/>
  <c r="BL518" i="3"/>
  <c r="G493" i="3"/>
  <c r="BA584" i="3"/>
  <c r="BA582" i="3"/>
  <c r="BA580" i="3"/>
  <c r="BA578" i="3"/>
  <c r="BA576" i="3"/>
  <c r="BA574" i="3"/>
  <c r="AZ574" i="3" s="1"/>
  <c r="BA572" i="3"/>
  <c r="AZ572" i="3" s="1"/>
  <c r="BA570" i="3"/>
  <c r="BA568" i="3"/>
  <c r="AZ568" i="3" s="1"/>
  <c r="BA566" i="3"/>
  <c r="BA564" i="3"/>
  <c r="BA562" i="3"/>
  <c r="BA560" i="3"/>
  <c r="BA558" i="3"/>
  <c r="BA556" i="3"/>
  <c r="AZ556" i="3" s="1"/>
  <c r="BA554" i="3"/>
  <c r="BA552" i="3"/>
  <c r="BA548" i="3"/>
  <c r="BA540" i="3"/>
  <c r="BA534" i="3"/>
  <c r="BA528" i="3"/>
  <c r="BA516" i="3"/>
  <c r="BA502" i="3"/>
  <c r="BA587" i="3"/>
  <c r="BA583" i="3"/>
  <c r="BA581" i="3"/>
  <c r="BA579" i="3"/>
  <c r="BA577" i="3"/>
  <c r="BA575" i="3"/>
  <c r="BA573" i="3"/>
  <c r="BA571" i="3"/>
  <c r="BA569" i="3"/>
  <c r="BA567" i="3"/>
  <c r="BA565" i="3"/>
  <c r="BA563" i="3"/>
  <c r="BA561" i="3"/>
  <c r="BA559" i="3"/>
  <c r="BA555" i="3"/>
  <c r="BA553" i="3"/>
  <c r="AZ553" i="3" s="1"/>
  <c r="BA541" i="3"/>
  <c r="BA531" i="3"/>
  <c r="BA523" i="3"/>
  <c r="BA513" i="3"/>
  <c r="BA503"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AZ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c r="G559" i="3"/>
  <c r="G555" i="3"/>
  <c r="G553" i="3"/>
  <c r="G549" i="3"/>
  <c r="G547" i="3"/>
  <c r="G541" i="3"/>
  <c r="G539" i="3"/>
  <c r="BQ555" i="3"/>
  <c r="BL555" i="3" s="1"/>
  <c r="BQ553" i="3"/>
  <c r="BL553" i="3" s="1"/>
  <c r="BQ551" i="3"/>
  <c r="BL551" i="3"/>
  <c r="BQ549" i="3"/>
  <c r="BQ547" i="3"/>
  <c r="BQ545" i="3"/>
  <c r="BL545" i="3"/>
  <c r="BQ543" i="3"/>
  <c r="BQ541" i="3"/>
  <c r="BL541" i="3"/>
  <c r="AZ541" i="3" s="1"/>
  <c r="BQ539" i="3"/>
  <c r="BQ537" i="3"/>
  <c r="BQ535" i="3"/>
  <c r="BL535" i="3" s="1"/>
  <c r="BQ533" i="3"/>
  <c r="BQ531" i="3"/>
  <c r="BQ529" i="3"/>
  <c r="BQ527" i="3"/>
  <c r="BQ525" i="3"/>
  <c r="BQ523" i="3"/>
  <c r="AC521" i="3"/>
  <c r="BQ521" i="3"/>
  <c r="BL520" i="3"/>
  <c r="G519" i="3"/>
  <c r="G517" i="3"/>
  <c r="G515" i="3"/>
  <c r="G511" i="3"/>
  <c r="BQ519" i="3"/>
  <c r="BQ517" i="3"/>
  <c r="BQ515" i="3"/>
  <c r="BQ513" i="3"/>
  <c r="BL513" i="3"/>
  <c r="BQ511" i="3"/>
  <c r="AC509" i="3"/>
  <c r="BQ509" i="3"/>
  <c r="G507" i="3"/>
  <c r="G505" i="3"/>
  <c r="G503" i="3"/>
  <c r="G499" i="3"/>
  <c r="G497" i="3"/>
  <c r="G495" i="3"/>
  <c r="BQ507" i="3"/>
  <c r="BQ505" i="3"/>
  <c r="BQ503" i="3"/>
  <c r="BQ501" i="3"/>
  <c r="BQ499" i="3"/>
  <c r="BQ497" i="3"/>
  <c r="BQ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U14" i="40"/>
  <c r="U39" i="37"/>
  <c r="U26" i="37"/>
  <c r="W47" i="34"/>
  <c r="AA13" i="33"/>
  <c r="W44" i="33"/>
  <c r="U11" i="33"/>
  <c r="F43" i="33"/>
  <c r="AA43" i="33" s="1"/>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AC13" i="40"/>
  <c r="AC43" i="39"/>
  <c r="W43" i="39"/>
  <c r="U45" i="39"/>
  <c r="AB45" i="39"/>
  <c r="H37" i="39"/>
  <c r="AB37" i="39" s="1"/>
  <c r="AC37" i="39"/>
  <c r="W37" i="39"/>
  <c r="H25" i="39"/>
  <c r="AB25" i="39" s="1"/>
  <c r="J25" i="39"/>
  <c r="W25" i="39" s="1"/>
  <c r="F25" i="39"/>
  <c r="AA25" i="39" s="1"/>
  <c r="F15" i="39"/>
  <c r="AA15" i="39" s="1"/>
  <c r="H41" i="39"/>
  <c r="AB41" i="39" s="1"/>
  <c r="AB34" i="39"/>
  <c r="J19" i="40"/>
  <c r="AC19" i="40" s="1"/>
  <c r="J50" i="40"/>
  <c r="H103" i="9"/>
  <c r="D8" i="53" s="1"/>
  <c r="B16" i="53"/>
  <c r="B33" i="72" s="1"/>
  <c r="C7" i="36"/>
  <c r="C46" i="36" s="1"/>
  <c r="D46" i="36" s="1"/>
  <c r="E46" i="36" s="1"/>
  <c r="F46" i="36" s="1"/>
  <c r="G46" i="36" s="1"/>
  <c r="H46" i="36" s="1"/>
  <c r="I46" i="36" s="1"/>
  <c r="W35" i="40"/>
  <c r="J11" i="39"/>
  <c r="W11" i="39" s="1"/>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AZ315" i="3" s="1"/>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BA379" i="3"/>
  <c r="BL380" i="3"/>
  <c r="G381" i="3"/>
  <c r="BA383" i="3"/>
  <c r="AZ383" i="3" s="1"/>
  <c r="BL384" i="3"/>
  <c r="G385" i="3"/>
  <c r="BA387" i="3"/>
  <c r="AZ387" i="3" s="1"/>
  <c r="BL388" i="3"/>
  <c r="G389" i="3"/>
  <c r="BA391" i="3"/>
  <c r="AZ391" i="3" s="1"/>
  <c r="BL392" i="3"/>
  <c r="G393" i="3"/>
  <c r="BM5" i="3"/>
  <c r="BD5" i="3"/>
  <c r="G548" i="3"/>
  <c r="G538" i="3"/>
  <c r="G520" i="3"/>
  <c r="G502" i="3"/>
  <c r="BN5" i="3"/>
  <c r="BE5" i="3"/>
  <c r="G17" i="3"/>
  <c r="BA17" i="3"/>
  <c r="BT5" i="3"/>
  <c r="BA15" i="3"/>
  <c r="G509" i="3"/>
  <c r="BL493" i="3"/>
  <c r="F83" i="43"/>
  <c r="H85" i="43" s="1"/>
  <c r="F50" i="43"/>
  <c r="H54" i="43" s="1"/>
  <c r="F72" i="43"/>
  <c r="H75" i="43" s="1"/>
  <c r="S14" i="35"/>
  <c r="U43" i="21"/>
  <c r="AC35" i="21"/>
  <c r="AC11" i="39"/>
  <c r="W37" i="37"/>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110" i="3"/>
  <c r="F23" i="39"/>
  <c r="AA23" i="39" s="1"/>
  <c r="H27" i="36"/>
  <c r="U27" i="36" s="1"/>
  <c r="F27" i="36"/>
  <c r="AA27" i="36" s="1"/>
  <c r="H33" i="34"/>
  <c r="U33" i="34"/>
  <c r="F32" i="37"/>
  <c r="AA32" i="37" s="1"/>
  <c r="F20" i="36"/>
  <c r="AA20" i="36" s="1"/>
  <c r="J33" i="34"/>
  <c r="AC33" i="34" s="1"/>
  <c r="H23" i="39"/>
  <c r="U23" i="39" s="1"/>
  <c r="D48" i="9"/>
  <c r="M52" i="9" s="1"/>
  <c r="K9" i="1"/>
  <c r="M9" i="1" s="1"/>
  <c r="D93" i="9"/>
  <c r="W26" i="33"/>
  <c r="W27" i="34"/>
  <c r="AC27" i="34"/>
  <c r="AB34" i="36"/>
  <c r="U34" i="36"/>
  <c r="AC12" i="39"/>
  <c r="AC12" i="33"/>
  <c r="AA32" i="36"/>
  <c r="S32" i="36"/>
  <c r="AZ437" i="3"/>
  <c r="BL14" i="3"/>
  <c r="U30" i="33"/>
  <c r="AC13" i="34"/>
  <c r="AA47" i="34"/>
  <c r="W28" i="37"/>
  <c r="F12" i="33"/>
  <c r="AA12" i="33" s="1"/>
  <c r="H12" i="39"/>
  <c r="AB12" i="39" s="1"/>
  <c r="F39" i="40"/>
  <c r="BA14" i="3"/>
  <c r="AZ14" i="3" s="1"/>
  <c r="B12" i="1"/>
  <c r="E12" i="1" s="1"/>
  <c r="B10" i="1"/>
  <c r="E10" i="1" s="1"/>
  <c r="K12" i="1"/>
  <c r="M12" i="1" s="1"/>
  <c r="S13" i="1"/>
  <c r="AR13" i="1" s="1"/>
  <c r="R13" i="1"/>
  <c r="J51" i="67"/>
  <c r="C42" i="1"/>
  <c r="C24" i="12" s="1"/>
  <c r="B41" i="1"/>
  <c r="AB37" i="40"/>
  <c r="S35" i="40"/>
  <c r="U35" i="40"/>
  <c r="AC36" i="40"/>
  <c r="S17" i="40"/>
  <c r="S23" i="40"/>
  <c r="AC15" i="40"/>
  <c r="AB27" i="40"/>
  <c r="AA19" i="40"/>
  <c r="S28" i="40"/>
  <c r="U21" i="40"/>
  <c r="U37" i="39"/>
  <c r="S37" i="39"/>
  <c r="U35" i="39"/>
  <c r="F32" i="39"/>
  <c r="F106" i="39"/>
  <c r="G106" i="39" s="1"/>
  <c r="H106" i="39" s="1"/>
  <c r="I106" i="39" s="1"/>
  <c r="J106" i="39" s="1"/>
  <c r="K106" i="39" s="1"/>
  <c r="L106" i="39" s="1"/>
  <c r="M106" i="39" s="1"/>
  <c r="AB27" i="39"/>
  <c r="J21" i="39"/>
  <c r="W21" i="39" s="1"/>
  <c r="F21" i="39"/>
  <c r="AA21" i="39" s="1"/>
  <c r="G94" i="39"/>
  <c r="H21" i="39"/>
  <c r="AB21" i="39" s="1"/>
  <c r="U19" i="39"/>
  <c r="S9" i="39"/>
  <c r="AC13" i="39"/>
  <c r="S23" i="36"/>
  <c r="U26" i="36"/>
  <c r="S33" i="36"/>
  <c r="AA26" i="36"/>
  <c r="AC26"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S25" i="37"/>
  <c r="W27" i="37"/>
  <c r="AC29" i="37"/>
  <c r="U29" i="37"/>
  <c r="W30" i="37"/>
  <c r="AA38" i="37"/>
  <c r="U32" i="37"/>
  <c r="W38" i="37"/>
  <c r="AC35" i="37"/>
  <c r="W39" i="37"/>
  <c r="S30" i="37"/>
  <c r="S37" i="37"/>
  <c r="J17" i="37"/>
  <c r="AC17" i="37" s="1"/>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W41" i="34"/>
  <c r="AC42" i="34"/>
  <c r="AB35" i="34"/>
  <c r="S43" i="34"/>
  <c r="AB41" i="34"/>
  <c r="AA45" i="34"/>
  <c r="AA25" i="34"/>
  <c r="U28" i="34"/>
  <c r="AA29" i="34"/>
  <c r="U27" i="34"/>
  <c r="S23" i="34"/>
  <c r="H10" i="34"/>
  <c r="AB10" i="34" s="1"/>
  <c r="F11" i="34"/>
  <c r="S11" i="34" s="1"/>
  <c r="W42" i="33"/>
  <c r="AA35" i="33"/>
  <c r="S27" i="33"/>
  <c r="S32"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H27" i="33"/>
  <c r="F87" i="33"/>
  <c r="G87" i="33" s="1"/>
  <c r="H25" i="33"/>
  <c r="U25" i="33" s="1"/>
  <c r="F25" i="33"/>
  <c r="J23" i="33"/>
  <c r="AC23" i="33" s="1"/>
  <c r="H23" i="33"/>
  <c r="F81" i="33"/>
  <c r="F19" i="33"/>
  <c r="S19" i="33" s="1"/>
  <c r="W19" i="33"/>
  <c r="J17" i="33"/>
  <c r="F79" i="33"/>
  <c r="G79" i="33" s="1"/>
  <c r="S15" i="33"/>
  <c r="W15" i="33"/>
  <c r="U9" i="33"/>
  <c r="J10" i="33"/>
  <c r="W10" i="33" s="1"/>
  <c r="H10" i="33"/>
  <c r="U10" i="33" s="1"/>
  <c r="AC11" i="33"/>
  <c r="AB14" i="33"/>
  <c r="W36" i="21"/>
  <c r="AA43" i="21"/>
  <c r="AA38" i="21"/>
  <c r="J15" i="21"/>
  <c r="AC15" i="21" s="1"/>
  <c r="F77" i="21"/>
  <c r="G77" i="21" s="1"/>
  <c r="E85" i="21"/>
  <c r="H23" i="21" s="1"/>
  <c r="AA14" i="21"/>
  <c r="C18" i="9"/>
  <c r="D18" i="9" s="1"/>
  <c r="F34" i="67"/>
  <c r="F62" i="67" s="1"/>
  <c r="M20" i="67"/>
  <c r="F34" i="15"/>
  <c r="F62" i="15" s="1"/>
  <c r="BA13" i="3"/>
  <c r="BL17" i="3"/>
  <c r="AZ17" i="3"/>
  <c r="BL13" i="3"/>
  <c r="J56" i="9"/>
  <c r="J57" i="9" s="1"/>
  <c r="J59" i="9" s="1"/>
  <c r="J61" i="9" s="1"/>
  <c r="A24" i="51"/>
  <c r="B18" i="72" s="1"/>
  <c r="U29" i="34"/>
  <c r="E32" i="6"/>
  <c r="G1" i="68"/>
  <c r="K1" i="12"/>
  <c r="E19" i="69"/>
  <c r="E19" i="68"/>
  <c r="E19" i="11"/>
  <c r="G22" i="69"/>
  <c r="G26" i="12"/>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W34" i="40"/>
  <c r="W19" i="40"/>
  <c r="W27" i="40"/>
  <c r="S36" i="40"/>
  <c r="W37" i="40"/>
  <c r="AC14" i="40"/>
  <c r="S13" i="40"/>
  <c r="S33" i="40"/>
  <c r="AA15" i="40"/>
  <c r="U11" i="40"/>
  <c r="U15" i="40"/>
  <c r="AB17" i="40"/>
  <c r="S8" i="40"/>
  <c r="S13" i="39"/>
  <c r="S14" i="39"/>
  <c r="AA14" i="39"/>
  <c r="U43" i="39"/>
  <c r="AB43" i="39"/>
  <c r="AB11" i="39"/>
  <c r="U11" i="39"/>
  <c r="AC31" i="39"/>
  <c r="AA45" i="39"/>
  <c r="W34" i="39"/>
  <c r="U38" i="39"/>
  <c r="S8" i="39"/>
  <c r="AC25" i="36"/>
  <c r="U32" i="36"/>
  <c r="W29" i="36"/>
  <c r="U25" i="36"/>
  <c r="W22" i="36"/>
  <c r="U25" i="35"/>
  <c r="U24" i="35"/>
  <c r="S35" i="35"/>
  <c r="W35" i="35"/>
  <c r="AA35" i="37"/>
  <c r="W36" i="37"/>
  <c r="S27" i="37"/>
  <c r="S28" i="37"/>
  <c r="W32" i="37"/>
  <c r="U36" i="37"/>
  <c r="S40" i="37"/>
  <c r="U38" i="37"/>
  <c r="AC34" i="37"/>
  <c r="AA31" i="37"/>
  <c r="U19" i="37"/>
  <c r="AA29" i="37"/>
  <c r="U8" i="37"/>
  <c r="AA40" i="34"/>
  <c r="AB40" i="34"/>
  <c r="U19" i="34"/>
  <c r="W19" i="34"/>
  <c r="AB33" i="34"/>
  <c r="AC45" i="34"/>
  <c r="AA31" i="34"/>
  <c r="AA30" i="34"/>
  <c r="U25" i="34"/>
  <c r="AB36" i="34"/>
  <c r="W33" i="34"/>
  <c r="AC29" i="34"/>
  <c r="W29" i="34"/>
  <c r="W46" i="34"/>
  <c r="AC46" i="34"/>
  <c r="U30" i="34"/>
  <c r="AB30" i="34"/>
  <c r="S37" i="34"/>
  <c r="U38" i="34"/>
  <c r="AC40" i="34"/>
  <c r="W40" i="34"/>
  <c r="AA19" i="34"/>
  <c r="AA36" i="34"/>
  <c r="S36" i="34"/>
  <c r="AA8" i="34"/>
  <c r="S8" i="34"/>
  <c r="S46" i="34"/>
  <c r="AA46" i="34"/>
  <c r="AC43" i="34"/>
  <c r="W43" i="34"/>
  <c r="W23" i="34"/>
  <c r="AC23" i="34"/>
  <c r="U12" i="34"/>
  <c r="AB12" i="34"/>
  <c r="W46" i="33"/>
  <c r="U39" i="33"/>
  <c r="U38" i="33"/>
  <c r="S33" i="33"/>
  <c r="AB34" i="33"/>
  <c r="U44" i="33"/>
  <c r="AB44" i="33"/>
  <c r="S30" i="33"/>
  <c r="AA30" i="33"/>
  <c r="AC14" i="33"/>
  <c r="W14" i="33"/>
  <c r="W30" i="33"/>
  <c r="S31" i="33"/>
  <c r="AA31" i="33"/>
  <c r="W13" i="33"/>
  <c r="AC13" i="33"/>
  <c r="U15" i="33"/>
  <c r="S11" i="33"/>
  <c r="U37" i="33"/>
  <c r="F33" i="21"/>
  <c r="AA33" i="21" s="1"/>
  <c r="J33" i="21"/>
  <c r="AC33" i="21" s="1"/>
  <c r="H33" i="21"/>
  <c r="AB33" i="21" s="1"/>
  <c r="F37" i="21"/>
  <c r="AA37" i="21" s="1"/>
  <c r="AA26" i="21"/>
  <c r="AB14" i="21"/>
  <c r="U40" i="21"/>
  <c r="J37" i="21"/>
  <c r="W37" i="21" s="1"/>
  <c r="H15" i="21"/>
  <c r="U15" i="21" s="1"/>
  <c r="AC14" i="21"/>
  <c r="W30" i="21"/>
  <c r="H45" i="21"/>
  <c r="F29" i="21"/>
  <c r="AA29" i="21" s="1"/>
  <c r="F13" i="21"/>
  <c r="AA13" i="21" s="1"/>
  <c r="AC38" i="21"/>
  <c r="H9" i="21"/>
  <c r="J9" i="21"/>
  <c r="W9" i="21" s="1"/>
  <c r="AA31" i="21"/>
  <c r="S9" i="21"/>
  <c r="AA9" i="21"/>
  <c r="K141" i="21"/>
  <c r="K144" i="21"/>
  <c r="K143" i="21"/>
  <c r="AB25" i="21"/>
  <c r="AA30" i="21"/>
  <c r="F10" i="21"/>
  <c r="AA10" i="21" s="1"/>
  <c r="K145" i="21"/>
  <c r="S27" i="21"/>
  <c r="AC26" i="21"/>
  <c r="AB29" i="21"/>
  <c r="S28" i="21"/>
  <c r="W30" i="40"/>
  <c r="C19" i="39"/>
  <c r="C17" i="40"/>
  <c r="C23" i="40"/>
  <c r="C21" i="40"/>
  <c r="U30" i="40"/>
  <c r="B56" i="43"/>
  <c r="B67" i="43"/>
  <c r="B51" i="43"/>
  <c r="B62" i="43"/>
  <c r="B65" i="43"/>
  <c r="D23" i="15"/>
  <c r="D22" i="15"/>
  <c r="E4" i="4"/>
  <c r="B5" i="62" s="1"/>
  <c r="B73" i="72" s="1"/>
  <c r="C4" i="4"/>
  <c r="M18" i="15"/>
  <c r="AA39" i="40"/>
  <c r="S39" i="40"/>
  <c r="S12" i="33"/>
  <c r="J32" i="39"/>
  <c r="H32" i="39"/>
  <c r="AB32" i="39" s="1"/>
  <c r="U21" i="39"/>
  <c r="S17" i="37"/>
  <c r="J19" i="37"/>
  <c r="W19" i="37" s="1"/>
  <c r="AA19" i="37"/>
  <c r="J23" i="37"/>
  <c r="G79" i="37"/>
  <c r="J10" i="37"/>
  <c r="W10" i="37" s="1"/>
  <c r="H11" i="37"/>
  <c r="AB11" i="37" s="1"/>
  <c r="H11" i="34"/>
  <c r="U11" i="34" s="1"/>
  <c r="J10" i="34"/>
  <c r="AC10" i="34" s="1"/>
  <c r="W35" i="33"/>
  <c r="J36" i="33"/>
  <c r="W36" i="33" s="1"/>
  <c r="H36" i="33"/>
  <c r="S36" i="33"/>
  <c r="U27" i="33"/>
  <c r="AB27" i="33"/>
  <c r="I91" i="33"/>
  <c r="J91" i="33" s="1"/>
  <c r="K91" i="33" s="1"/>
  <c r="L91" i="33" s="1"/>
  <c r="M91" i="33" s="1"/>
  <c r="J27" i="33"/>
  <c r="AB25" i="33"/>
  <c r="S25" i="33"/>
  <c r="AA25" i="33"/>
  <c r="H87" i="33"/>
  <c r="I87" i="33" s="1"/>
  <c r="J87" i="33" s="1"/>
  <c r="K87" i="33" s="1"/>
  <c r="L87" i="33" s="1"/>
  <c r="M87" i="33" s="1"/>
  <c r="J25" i="33"/>
  <c r="W25" i="33" s="1"/>
  <c r="F23" i="33"/>
  <c r="AA19" i="33"/>
  <c r="H19" i="33"/>
  <c r="U19" i="33" s="1"/>
  <c r="G81" i="33"/>
  <c r="H17" i="33"/>
  <c r="U17" i="33" s="1"/>
  <c r="F17" i="33"/>
  <c r="S17" i="33" s="1"/>
  <c r="J23" i="21"/>
  <c r="W23" i="21" s="1"/>
  <c r="F85" i="21"/>
  <c r="G85" i="21" s="1"/>
  <c r="S13" i="21"/>
  <c r="AP7" i="1"/>
  <c r="A18" i="62"/>
  <c r="B64" i="72" s="1"/>
  <c r="W23" i="37"/>
  <c r="AC23" i="37"/>
  <c r="J11" i="37"/>
  <c r="AC11" i="37" s="1"/>
  <c r="J11" i="34"/>
  <c r="W11" i="34" s="1"/>
  <c r="W27" i="33"/>
  <c r="AC27" i="33"/>
  <c r="H109" i="9"/>
  <c r="M49" i="9" s="1"/>
  <c r="H112" i="9"/>
  <c r="D21" i="53" s="1"/>
  <c r="B39" i="72" s="1"/>
  <c r="H111" i="9"/>
  <c r="D126" i="9" s="1"/>
  <c r="AD3" i="71"/>
  <c r="H69" i="43"/>
  <c r="C22" i="71"/>
  <c r="D23" i="71"/>
  <c r="D24" i="71"/>
  <c r="U24" i="71" s="1"/>
  <c r="S24" i="71"/>
  <c r="T24" i="71"/>
  <c r="AB22" i="71"/>
  <c r="X20" i="71"/>
  <c r="X19" i="71"/>
  <c r="AA20" i="71"/>
  <c r="AA19" i="71"/>
  <c r="X23" i="71"/>
  <c r="Y19" i="71"/>
  <c r="Z19" i="71" s="1"/>
  <c r="AB20" i="71"/>
  <c r="AB19" i="71"/>
  <c r="S20" i="71"/>
  <c r="Y20" i="71"/>
  <c r="Z20" i="71" s="1"/>
  <c r="X3" i="71"/>
  <c r="F36" i="15"/>
  <c r="F43" i="15"/>
  <c r="F37" i="15"/>
  <c r="E2" i="69"/>
  <c r="E8" i="76"/>
  <c r="F7" i="73"/>
  <c r="F6" i="73"/>
  <c r="B9" i="76"/>
  <c r="M9" i="15"/>
  <c r="F4" i="73"/>
  <c r="E10" i="76"/>
  <c r="M23" i="15"/>
  <c r="F5" i="73"/>
  <c r="B7" i="76"/>
  <c r="E7" i="76"/>
  <c r="M26" i="15"/>
  <c r="F20" i="31"/>
  <c r="AO13" i="1"/>
  <c r="M24" i="67"/>
  <c r="E2" i="68"/>
  <c r="M28" i="15"/>
  <c r="M6" i="15"/>
  <c r="F13" i="15"/>
  <c r="E9" i="76"/>
  <c r="B11" i="76"/>
  <c r="M22" i="15"/>
  <c r="F26" i="15"/>
  <c r="L47" i="15"/>
  <c r="F3" i="73"/>
  <c r="F7" i="15"/>
  <c r="E12" i="76"/>
  <c r="C76" i="15"/>
  <c r="B10" i="76"/>
  <c r="J15" i="15"/>
  <c r="F6" i="15"/>
  <c r="M29" i="15"/>
  <c r="F42" i="15"/>
  <c r="F8" i="15"/>
  <c r="B12" i="76"/>
  <c r="M8" i="15"/>
  <c r="F16" i="67"/>
  <c r="B13" i="76"/>
  <c r="M24" i="15"/>
  <c r="E11" i="76"/>
  <c r="F38" i="15"/>
  <c r="F40" i="15"/>
  <c r="E13" i="76"/>
  <c r="B8" i="76"/>
  <c r="F9" i="15"/>
  <c r="F16" i="15"/>
  <c r="J1" i="73" l="1"/>
  <c r="G23" i="43"/>
  <c r="C23" i="43" s="1"/>
  <c r="C7" i="33"/>
  <c r="C7" i="34"/>
  <c r="J51" i="15"/>
  <c r="M47" i="9"/>
  <c r="C7" i="35"/>
  <c r="C48" i="35" s="1"/>
  <c r="D48" i="35" s="1"/>
  <c r="E48" i="35" s="1"/>
  <c r="C7" i="37"/>
  <c r="C52" i="37" s="1"/>
  <c r="D52" i="37" s="1"/>
  <c r="U41" i="33"/>
  <c r="AB41" i="33"/>
  <c r="U13" i="21"/>
  <c r="AB13" i="21"/>
  <c r="AB23" i="33"/>
  <c r="U23" i="33"/>
  <c r="AA32" i="39"/>
  <c r="S32" i="39"/>
  <c r="F48" i="9"/>
  <c r="O52" i="9" s="1"/>
  <c r="F32" i="83"/>
  <c r="F60" i="83" s="1"/>
  <c r="M18" i="83"/>
  <c r="F28" i="83"/>
  <c r="C28" i="83" s="1"/>
  <c r="F30" i="11"/>
  <c r="C48" i="11" s="1"/>
  <c r="M18" i="67"/>
  <c r="AC25" i="33"/>
  <c r="W17" i="33"/>
  <c r="AC17" i="33"/>
  <c r="D22" i="71"/>
  <c r="C21" i="71"/>
  <c r="D21" i="71" s="1"/>
  <c r="U9" i="21"/>
  <c r="AB9" i="21"/>
  <c r="U45" i="21"/>
  <c r="AB45" i="21"/>
  <c r="U23" i="21"/>
  <c r="AB23" i="21"/>
  <c r="W19" i="21"/>
  <c r="AC19" i="21"/>
  <c r="AC20" i="36"/>
  <c r="AZ565" i="3"/>
  <c r="AA40" i="21"/>
  <c r="S40" i="21"/>
  <c r="J9" i="33"/>
  <c r="F9" i="33"/>
  <c r="AA9" i="33" s="1"/>
  <c r="AB30" i="37"/>
  <c r="U30" i="37"/>
  <c r="AB34" i="40"/>
  <c r="U34" i="40"/>
  <c r="AZ329" i="3"/>
  <c r="W32" i="33"/>
  <c r="U41" i="39"/>
  <c r="F23" i="21"/>
  <c r="S23" i="21" s="1"/>
  <c r="AC15" i="37"/>
  <c r="AA36" i="35"/>
  <c r="AZ379" i="3"/>
  <c r="AZ338" i="3"/>
  <c r="AZ327" i="3"/>
  <c r="AZ318" i="3"/>
  <c r="AZ371" i="3"/>
  <c r="AZ355" i="3"/>
  <c r="AZ378" i="3"/>
  <c r="AZ360" i="3"/>
  <c r="S14" i="40"/>
  <c r="AC12" i="37"/>
  <c r="AZ573" i="3"/>
  <c r="AZ554" i="3"/>
  <c r="AZ560" i="3"/>
  <c r="AZ576" i="3"/>
  <c r="W31" i="34"/>
  <c r="AA14" i="33"/>
  <c r="S41" i="33"/>
  <c r="H27" i="21"/>
  <c r="J27" i="21"/>
  <c r="F12" i="34"/>
  <c r="S12" i="34" s="1"/>
  <c r="H33" i="36"/>
  <c r="AB33" i="36" s="1"/>
  <c r="BL550" i="3"/>
  <c r="BL549" i="3"/>
  <c r="AZ549" i="3" s="1"/>
  <c r="BA549" i="3"/>
  <c r="BA547" i="3"/>
  <c r="BL546" i="3"/>
  <c r="G545" i="3"/>
  <c r="BL544" i="3"/>
  <c r="BA544" i="3"/>
  <c r="G544" i="3"/>
  <c r="BA543" i="3"/>
  <c r="BA542" i="3"/>
  <c r="AZ542" i="3" s="1"/>
  <c r="BL540" i="3"/>
  <c r="AZ540" i="3" s="1"/>
  <c r="BA539" i="3"/>
  <c r="BL538" i="3"/>
  <c r="BA538" i="3"/>
  <c r="BL537" i="3"/>
  <c r="G537" i="3"/>
  <c r="G536" i="3"/>
  <c r="BA535" i="3"/>
  <c r="BL534" i="3"/>
  <c r="AZ534" i="3" s="1"/>
  <c r="BL533" i="3"/>
  <c r="BA533" i="3"/>
  <c r="BA532" i="3"/>
  <c r="AZ532" i="3" s="1"/>
  <c r="BL530" i="3"/>
  <c r="BA530" i="3"/>
  <c r="BL529" i="3"/>
  <c r="BA529" i="3"/>
  <c r="G529" i="3"/>
  <c r="G528" i="3"/>
  <c r="BA527" i="3"/>
  <c r="BL526" i="3"/>
  <c r="BL525" i="3"/>
  <c r="AZ525" i="3" s="1"/>
  <c r="BA525" i="3"/>
  <c r="BL524" i="3"/>
  <c r="BA524" i="3"/>
  <c r="BA522" i="3"/>
  <c r="AZ522" i="3" s="1"/>
  <c r="BL521" i="3"/>
  <c r="BA521" i="3"/>
  <c r="AB35" i="37"/>
  <c r="AA23" i="37"/>
  <c r="D120" i="9"/>
  <c r="AB31" i="37"/>
  <c r="AA12" i="39"/>
  <c r="S30" i="40"/>
  <c r="AZ380" i="3"/>
  <c r="AZ325" i="3"/>
  <c r="AZ557" i="3"/>
  <c r="AZ563" i="3"/>
  <c r="AZ579" i="3"/>
  <c r="AZ570" i="3"/>
  <c r="S44" i="34"/>
  <c r="U26" i="33"/>
  <c r="G586" i="3"/>
  <c r="BA586" i="3"/>
  <c r="AC28" i="35"/>
  <c r="W28" i="35"/>
  <c r="H31" i="39"/>
  <c r="F31" i="39"/>
  <c r="J39" i="40"/>
  <c r="H39" i="40"/>
  <c r="U39" i="40" s="1"/>
  <c r="H19" i="21"/>
  <c r="F19" i="21"/>
  <c r="U12" i="36"/>
  <c r="AB12" i="36"/>
  <c r="H44" i="39"/>
  <c r="J44" i="39"/>
  <c r="F119" i="39"/>
  <c r="G119" i="39" s="1"/>
  <c r="H119" i="39" s="1"/>
  <c r="I119" i="39" s="1"/>
  <c r="J119" i="39" s="1"/>
  <c r="K119" i="39" s="1"/>
  <c r="L119" i="39" s="1"/>
  <c r="M119" i="39" s="1"/>
  <c r="H39" i="39"/>
  <c r="AC30" i="36"/>
  <c r="W30" i="36"/>
  <c r="G570" i="3"/>
  <c r="M20" i="15"/>
  <c r="M20" i="83"/>
  <c r="F34" i="83"/>
  <c r="F62" i="83" s="1"/>
  <c r="F7" i="1"/>
  <c r="G7" i="1" s="1"/>
  <c r="BA400" i="3"/>
  <c r="BA413" i="3"/>
  <c r="G421" i="3"/>
  <c r="BA421" i="3"/>
  <c r="BA423" i="3"/>
  <c r="AZ423" i="3" s="1"/>
  <c r="BA431" i="3"/>
  <c r="BA433" i="3"/>
  <c r="AZ433" i="3" s="1"/>
  <c r="BA435" i="3"/>
  <c r="BA443" i="3"/>
  <c r="BL447" i="3"/>
  <c r="BL458" i="3"/>
  <c r="BL462" i="3"/>
  <c r="BA473" i="3"/>
  <c r="BL484" i="3"/>
  <c r="BL316" i="3"/>
  <c r="G329" i="3"/>
  <c r="BL340" i="3"/>
  <c r="AZ340" i="3" s="1"/>
  <c r="BL346" i="3"/>
  <c r="AZ346" i="3" s="1"/>
  <c r="G349" i="3"/>
  <c r="BA384" i="3"/>
  <c r="AZ384" i="3" s="1"/>
  <c r="BA392" i="3"/>
  <c r="AZ392" i="3" s="1"/>
  <c r="G397" i="3"/>
  <c r="BA212" i="3"/>
  <c r="BL216" i="3"/>
  <c r="BL219" i="3"/>
  <c r="G222" i="3"/>
  <c r="G224" i="3"/>
  <c r="G226" i="3"/>
  <c r="BA231" i="3"/>
  <c r="G235" i="3"/>
  <c r="BA249" i="3"/>
  <c r="BL249" i="3"/>
  <c r="G252" i="3"/>
  <c r="BA255" i="3"/>
  <c r="G259" i="3"/>
  <c r="BL278" i="3"/>
  <c r="C44" i="71"/>
  <c r="D43" i="71"/>
  <c r="G521" i="3"/>
  <c r="BA520" i="3"/>
  <c r="AZ520" i="3" s="1"/>
  <c r="BA519" i="3"/>
  <c r="BL517" i="3"/>
  <c r="BA517" i="3"/>
  <c r="BA515" i="3"/>
  <c r="BA514" i="3"/>
  <c r="G514" i="3"/>
  <c r="BL512" i="3"/>
  <c r="BA512" i="3"/>
  <c r="BA511" i="3"/>
  <c r="BL510" i="3"/>
  <c r="BA510" i="3"/>
  <c r="BL509" i="3"/>
  <c r="BA509" i="3"/>
  <c r="BL508" i="3"/>
  <c r="BA508" i="3"/>
  <c r="G508" i="3"/>
  <c r="BA507" i="3"/>
  <c r="BL506" i="3"/>
  <c r="AZ506" i="3" s="1"/>
  <c r="BA506" i="3"/>
  <c r="BL505" i="3"/>
  <c r="AZ505" i="3" s="1"/>
  <c r="BA505" i="3"/>
  <c r="BL504" i="3"/>
  <c r="BA504" i="3"/>
  <c r="BL502" i="3"/>
  <c r="AZ502" i="3" s="1"/>
  <c r="BL501" i="3"/>
  <c r="BA501" i="3"/>
  <c r="G501" i="3"/>
  <c r="BL500" i="3"/>
  <c r="G500" i="3"/>
  <c r="BR5" i="3"/>
  <c r="BL499" i="3"/>
  <c r="BA499" i="3"/>
  <c r="BL498" i="3"/>
  <c r="BH5" i="3"/>
  <c r="BA498" i="3"/>
  <c r="AZ498" i="3" s="1"/>
  <c r="BL497" i="3"/>
  <c r="BA497" i="3"/>
  <c r="BL496" i="3"/>
  <c r="BK5" i="3"/>
  <c r="BG5" i="3"/>
  <c r="BC5" i="3"/>
  <c r="BL495" i="3"/>
  <c r="BO5" i="3"/>
  <c r="BJ5" i="3"/>
  <c r="BF5" i="3"/>
  <c r="BA494" i="3"/>
  <c r="AZ494" i="3" s="1"/>
  <c r="BS5" i="3"/>
  <c r="BI5" i="3"/>
  <c r="BA493" i="3"/>
  <c r="AZ493" i="3" s="1"/>
  <c r="AC5" i="3"/>
  <c r="BA398" i="3"/>
  <c r="BA399" i="3"/>
  <c r="AZ399" i="3" s="1"/>
  <c r="BL402" i="3"/>
  <c r="BL406" i="3"/>
  <c r="BA410" i="3"/>
  <c r="BA412" i="3"/>
  <c r="AZ412" i="3" s="1"/>
  <c r="BA420" i="3"/>
  <c r="BL430" i="3"/>
  <c r="BL441" i="3"/>
  <c r="BL442" i="3"/>
  <c r="BA444" i="3"/>
  <c r="BL444" i="3"/>
  <c r="G447" i="3"/>
  <c r="BL451" i="3"/>
  <c r="BA458" i="3"/>
  <c r="AZ458" i="3" s="1"/>
  <c r="BA462" i="3"/>
  <c r="BL465" i="3"/>
  <c r="BA470" i="3"/>
  <c r="BA483" i="3"/>
  <c r="BL483" i="3"/>
  <c r="BL487" i="3"/>
  <c r="G13" i="3"/>
  <c r="M8" i="1"/>
  <c r="AP8" i="1"/>
  <c r="BL15" i="3"/>
  <c r="AZ15" i="3" s="1"/>
  <c r="F12" i="1"/>
  <c r="G12" i="1" s="1"/>
  <c r="F10" i="1"/>
  <c r="BA402" i="3"/>
  <c r="BA406" i="3"/>
  <c r="BL409" i="3"/>
  <c r="G412" i="3"/>
  <c r="BA419" i="3"/>
  <c r="AZ419" i="3" s="1"/>
  <c r="G422" i="3"/>
  <c r="BA425" i="3"/>
  <c r="BA426" i="3"/>
  <c r="BA427" i="3"/>
  <c r="AZ427" i="3" s="1"/>
  <c r="BL440" i="3"/>
  <c r="G444" i="3"/>
  <c r="BA448" i="3"/>
  <c r="BL448" i="3"/>
  <c r="G450" i="3"/>
  <c r="G451" i="3"/>
  <c r="BA456" i="3"/>
  <c r="BA457" i="3"/>
  <c r="G460" i="3"/>
  <c r="BA460" i="3"/>
  <c r="BA461" i="3"/>
  <c r="G464" i="3"/>
  <c r="BL464" i="3"/>
  <c r="BL469" i="3"/>
  <c r="G472" i="3"/>
  <c r="G473" i="3"/>
  <c r="BL479" i="3"/>
  <c r="G480" i="3"/>
  <c r="BA487" i="3"/>
  <c r="BA489" i="3"/>
  <c r="BL489" i="3"/>
  <c r="BL491" i="3"/>
  <c r="BL492" i="3"/>
  <c r="G347" i="3"/>
  <c r="G351" i="3"/>
  <c r="G382" i="3"/>
  <c r="BL386" i="3"/>
  <c r="BA208" i="3"/>
  <c r="AZ208" i="3" s="1"/>
  <c r="BA214" i="3"/>
  <c r="BA225" i="3"/>
  <c r="BA227" i="3"/>
  <c r="AZ227" i="3" s="1"/>
  <c r="BA228" i="3"/>
  <c r="AZ228" i="3" s="1"/>
  <c r="BL228" i="3"/>
  <c r="BL237" i="3"/>
  <c r="BL238" i="3"/>
  <c r="G246" i="3"/>
  <c r="BA247" i="3"/>
  <c r="BL247" i="3"/>
  <c r="G250" i="3"/>
  <c r="G251" i="3"/>
  <c r="BA251" i="3"/>
  <c r="BL251" i="3"/>
  <c r="BL269" i="3"/>
  <c r="BL270" i="3"/>
  <c r="BL272" i="3"/>
  <c r="G587" i="3"/>
  <c r="BL455" i="3"/>
  <c r="BA476" i="3"/>
  <c r="AZ476" i="3" s="1"/>
  <c r="BL476" i="3"/>
  <c r="BL477" i="3"/>
  <c r="BL478" i="3"/>
  <c r="G479" i="3"/>
  <c r="G484" i="3"/>
  <c r="BA486" i="3"/>
  <c r="G489" i="3"/>
  <c r="G491" i="3"/>
  <c r="BA319" i="3"/>
  <c r="AZ319" i="3" s="1"/>
  <c r="BL350" i="3"/>
  <c r="G364" i="3"/>
  <c r="BL381" i="3"/>
  <c r="AZ381" i="3" s="1"/>
  <c r="BA385" i="3"/>
  <c r="G392" i="3"/>
  <c r="BA395" i="3"/>
  <c r="AZ395" i="3" s="1"/>
  <c r="G210" i="3"/>
  <c r="G213" i="3"/>
  <c r="BL213" i="3"/>
  <c r="G216" i="3"/>
  <c r="G217" i="3"/>
  <c r="BA220" i="3"/>
  <c r="BA222" i="3"/>
  <c r="AZ222" i="3" s="1"/>
  <c r="BA224" i="3"/>
  <c r="AZ224" i="3" s="1"/>
  <c r="G228" i="3"/>
  <c r="G232" i="3"/>
  <c r="BL232" i="3"/>
  <c r="BL235" i="3"/>
  <c r="BL236" i="3"/>
  <c r="G237" i="3"/>
  <c r="BL242" i="3"/>
  <c r="BL243" i="3"/>
  <c r="G244" i="3"/>
  <c r="G253" i="3"/>
  <c r="BA257" i="3"/>
  <c r="BA259" i="3"/>
  <c r="AZ259" i="3" s="1"/>
  <c r="BA262" i="3"/>
  <c r="AZ262" i="3" s="1"/>
  <c r="G265" i="3"/>
  <c r="F28" i="71"/>
  <c r="F27" i="71" s="1"/>
  <c r="F26" i="71" s="1"/>
  <c r="E63" i="71"/>
  <c r="E64" i="71" s="1"/>
  <c r="U64" i="71" s="1"/>
  <c r="G288" i="3"/>
  <c r="BA290" i="3"/>
  <c r="BA124" i="3"/>
  <c r="AZ124" i="3" s="1"/>
  <c r="BL127" i="3"/>
  <c r="AZ127" i="3" s="1"/>
  <c r="BA134" i="3"/>
  <c r="BL146" i="3"/>
  <c r="BL157" i="3"/>
  <c r="BL159" i="3"/>
  <c r="AZ159" i="3" s="1"/>
  <c r="BL166" i="3"/>
  <c r="G172" i="3"/>
  <c r="BL186" i="3"/>
  <c r="G27" i="3"/>
  <c r="BL35" i="3"/>
  <c r="G37" i="3"/>
  <c r="G41" i="3"/>
  <c r="BA45" i="3"/>
  <c r="BA46" i="3"/>
  <c r="BA50" i="3"/>
  <c r="BA70" i="3"/>
  <c r="BA71" i="3"/>
  <c r="BL72" i="3"/>
  <c r="BL79" i="3"/>
  <c r="BL86" i="3"/>
  <c r="G88" i="3"/>
  <c r="BA91" i="3"/>
  <c r="AZ91" i="3" s="1"/>
  <c r="BL92" i="3"/>
  <c r="BA97" i="3"/>
  <c r="G102" i="3"/>
  <c r="BL106" i="3"/>
  <c r="BA108" i="3"/>
  <c r="U25" i="40"/>
  <c r="S18" i="36"/>
  <c r="F79" i="71"/>
  <c r="F78" i="71" s="1"/>
  <c r="BL267" i="3"/>
  <c r="BA283" i="3"/>
  <c r="AZ283" i="3" s="1"/>
  <c r="BL283" i="3"/>
  <c r="BL284" i="3"/>
  <c r="BA301" i="3"/>
  <c r="BL301" i="3"/>
  <c r="BL302" i="3"/>
  <c r="BA114" i="3"/>
  <c r="BL122" i="3"/>
  <c r="G127" i="3"/>
  <c r="BA133" i="3"/>
  <c r="BL133" i="3"/>
  <c r="BA145" i="3"/>
  <c r="BL163" i="3"/>
  <c r="AZ163" i="3" s="1"/>
  <c r="BL173" i="3"/>
  <c r="BL183" i="3"/>
  <c r="AZ183" i="3" s="1"/>
  <c r="BA186" i="3"/>
  <c r="G190" i="3"/>
  <c r="BA190" i="3"/>
  <c r="BL201" i="3"/>
  <c r="BL203" i="3"/>
  <c r="AZ203" i="3" s="1"/>
  <c r="BA204" i="3"/>
  <c r="AZ204" i="3" s="1"/>
  <c r="G18" i="3"/>
  <c r="BA22" i="3"/>
  <c r="BL24" i="3"/>
  <c r="BL34" i="3"/>
  <c r="BA41" i="3"/>
  <c r="G48" i="3"/>
  <c r="BA48" i="3"/>
  <c r="BA49" i="3"/>
  <c r="G52" i="3"/>
  <c r="G78" i="3"/>
  <c r="BL83" i="3"/>
  <c r="BL100" i="3"/>
  <c r="G101" i="3"/>
  <c r="BA101" i="3"/>
  <c r="BL103" i="3"/>
  <c r="G105" i="3"/>
  <c r="BA111" i="3"/>
  <c r="G1" i="83"/>
  <c r="F8" i="1"/>
  <c r="G8" i="1" s="1"/>
  <c r="BA250" i="3"/>
  <c r="BL252" i="3"/>
  <c r="G254" i="3"/>
  <c r="BA265" i="3"/>
  <c r="BL265" i="3"/>
  <c r="G267" i="3"/>
  <c r="BA278" i="3"/>
  <c r="AZ278" i="3" s="1"/>
  <c r="BA280" i="3"/>
  <c r="AZ280" i="3" s="1"/>
  <c r="G283" i="3"/>
  <c r="G290" i="3"/>
  <c r="G291" i="3"/>
  <c r="BA298" i="3"/>
  <c r="AZ298" i="3" s="1"/>
  <c r="G126" i="3"/>
  <c r="BA126" i="3"/>
  <c r="BA132" i="3"/>
  <c r="AZ132" i="3" s="1"/>
  <c r="G136" i="3"/>
  <c r="BL139" i="3"/>
  <c r="AZ139" i="3" s="1"/>
  <c r="G140" i="3"/>
  <c r="BL141" i="3"/>
  <c r="BL143" i="3"/>
  <c r="AZ143" i="3" s="1"/>
  <c r="BL154" i="3"/>
  <c r="G156" i="3"/>
  <c r="BA157" i="3"/>
  <c r="G163" i="3"/>
  <c r="BL169" i="3"/>
  <c r="BL177" i="3"/>
  <c r="G179" i="3"/>
  <c r="G188" i="3"/>
  <c r="BA189" i="3"/>
  <c r="BL205" i="3"/>
  <c r="BA207" i="3"/>
  <c r="BL23" i="3"/>
  <c r="G24" i="3"/>
  <c r="BA26" i="3"/>
  <c r="G28" i="3"/>
  <c r="BL28" i="3"/>
  <c r="BA29" i="3"/>
  <c r="BA31" i="3"/>
  <c r="BA32" i="3"/>
  <c r="BA43" i="3"/>
  <c r="BA47" i="3"/>
  <c r="G65" i="3"/>
  <c r="G66" i="3"/>
  <c r="BL69" i="3"/>
  <c r="G70" i="3"/>
  <c r="BA77" i="3"/>
  <c r="G85" i="3"/>
  <c r="BL99" i="3"/>
  <c r="G108" i="3"/>
  <c r="G109" i="3"/>
  <c r="AC21" i="37"/>
  <c r="AB21" i="37"/>
  <c r="AA18" i="35"/>
  <c r="C51" i="71"/>
  <c r="C52" i="71" s="1"/>
  <c r="T52" i="71" s="1"/>
  <c r="AA35" i="71"/>
  <c r="B51" i="71"/>
  <c r="B52" i="71" s="1"/>
  <c r="S52" i="71" s="1"/>
  <c r="B59" i="71"/>
  <c r="B60" i="71" s="1"/>
  <c r="S60" i="71" s="1"/>
  <c r="E59" i="71"/>
  <c r="E60" i="71" s="1"/>
  <c r="U60" i="71" s="1"/>
  <c r="F71" i="71"/>
  <c r="F70" i="71" s="1"/>
  <c r="G6" i="31"/>
  <c r="H6" i="31" s="1"/>
  <c r="I6" i="31" s="1"/>
  <c r="J6" i="31" s="1"/>
  <c r="K6" i="31" s="1"/>
  <c r="L6" i="31" s="1"/>
  <c r="M6" i="31" s="1"/>
  <c r="N6" i="31" s="1"/>
  <c r="O6" i="31" s="1"/>
  <c r="P6" i="31" s="1"/>
  <c r="Q6" i="31" s="1"/>
  <c r="R6" i="31" s="1"/>
  <c r="S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4" i="31"/>
  <c r="F44" i="21"/>
  <c r="AA44" i="21" s="1"/>
  <c r="H44" i="21"/>
  <c r="U44" i="21" s="1"/>
  <c r="W44" i="21"/>
  <c r="G123" i="21"/>
  <c r="H123" i="21" s="1"/>
  <c r="I123" i="21" s="1"/>
  <c r="J123" i="21" s="1"/>
  <c r="K123" i="21" s="1"/>
  <c r="L123" i="21" s="1"/>
  <c r="M123" i="21" s="1"/>
  <c r="J42" i="21"/>
  <c r="AC42" i="21" s="1"/>
  <c r="F42" i="21"/>
  <c r="AA42" i="21" s="1"/>
  <c r="H42" i="21"/>
  <c r="U42" i="21" s="1"/>
  <c r="W39" i="21"/>
  <c r="G101" i="21"/>
  <c r="H101" i="21" s="1"/>
  <c r="I101" i="21" s="1"/>
  <c r="J101" i="21" s="1"/>
  <c r="K101" i="21" s="1"/>
  <c r="L101" i="21" s="1"/>
  <c r="M101" i="21" s="1"/>
  <c r="H32" i="21"/>
  <c r="AB32" i="21" s="1"/>
  <c r="F32" i="21"/>
  <c r="AA32" i="21" s="1"/>
  <c r="J32" i="21"/>
  <c r="W32" i="21" s="1"/>
  <c r="U19" i="21"/>
  <c r="AB19" i="21"/>
  <c r="F81" i="21"/>
  <c r="G81" i="21" s="1"/>
  <c r="F79" i="21"/>
  <c r="G79" i="21" s="1"/>
  <c r="F17" i="21"/>
  <c r="AA17" i="21" s="1"/>
  <c r="H17" i="21"/>
  <c r="J17" i="21"/>
  <c r="AC17" i="21" s="1"/>
  <c r="S17" i="21"/>
  <c r="W15" i="21"/>
  <c r="AB15" i="21"/>
  <c r="AA23" i="21"/>
  <c r="AC40" i="21"/>
  <c r="S44" i="21"/>
  <c r="AC23" i="21"/>
  <c r="W25" i="21"/>
  <c r="W42" i="21"/>
  <c r="W41" i="21"/>
  <c r="S42" i="21"/>
  <c r="AA41" i="21"/>
  <c r="S39" i="21"/>
  <c r="AB38" i="21"/>
  <c r="AB36" i="21"/>
  <c r="U35" i="21"/>
  <c r="AC34" i="21"/>
  <c r="AC9" i="21"/>
  <c r="U40" i="39"/>
  <c r="S27" i="39"/>
  <c r="J15" i="39"/>
  <c r="W15" i="39" s="1"/>
  <c r="H15" i="39"/>
  <c r="U15" i="39" s="1"/>
  <c r="AA41" i="39"/>
  <c r="S38" i="39"/>
  <c r="AC25" i="39"/>
  <c r="U25" i="39"/>
  <c r="S15" i="39"/>
  <c r="S23" i="39"/>
  <c r="S17" i="39"/>
  <c r="S19" i="39"/>
  <c r="AC17" i="39"/>
  <c r="AC38" i="39"/>
  <c r="W27" i="39"/>
  <c r="W23" i="39"/>
  <c r="W29" i="39"/>
  <c r="U36" i="39"/>
  <c r="AB13" i="39"/>
  <c r="U32" i="39"/>
  <c r="W9" i="39"/>
  <c r="W8" i="39"/>
  <c r="AB8" i="39"/>
  <c r="U42" i="39"/>
  <c r="AC41" i="39"/>
  <c r="AA39" i="39"/>
  <c r="U9" i="39"/>
  <c r="B54" i="43"/>
  <c r="B75" i="43"/>
  <c r="B57" i="43"/>
  <c r="B77" i="43"/>
  <c r="B68" i="43"/>
  <c r="G22" i="11"/>
  <c r="E1" i="73"/>
  <c r="G22" i="68"/>
  <c r="H5" i="3"/>
  <c r="A4" i="52"/>
  <c r="B41" i="72" s="1"/>
  <c r="A118" i="9"/>
  <c r="AB13" i="36"/>
  <c r="U13" i="36"/>
  <c r="S24" i="36"/>
  <c r="AA24" i="36"/>
  <c r="AZ544" i="3"/>
  <c r="AZ538" i="3"/>
  <c r="AZ530" i="3"/>
  <c r="AZ529" i="3"/>
  <c r="AZ524" i="3"/>
  <c r="AZ512" i="3"/>
  <c r="AZ510" i="3"/>
  <c r="AZ509" i="3"/>
  <c r="AZ508" i="3"/>
  <c r="AZ504" i="3"/>
  <c r="AZ501" i="3"/>
  <c r="AZ499" i="3"/>
  <c r="AZ497" i="3"/>
  <c r="AB19" i="33"/>
  <c r="AZ191" i="3"/>
  <c r="AC32" i="39"/>
  <c r="W32" i="39"/>
  <c r="W29" i="21"/>
  <c r="AC29" i="21"/>
  <c r="AA45" i="33"/>
  <c r="S45" i="33"/>
  <c r="U36" i="33"/>
  <c r="AB36" i="33"/>
  <c r="AZ167" i="3"/>
  <c r="F29" i="6"/>
  <c r="AZ535" i="3"/>
  <c r="AZ571" i="3"/>
  <c r="BA546" i="3"/>
  <c r="AZ546" i="3" s="1"/>
  <c r="BA545" i="3"/>
  <c r="BL528" i="3"/>
  <c r="AZ528" i="3" s="1"/>
  <c r="AZ306" i="3"/>
  <c r="B101" i="43"/>
  <c r="B79" i="43"/>
  <c r="BL536" i="3"/>
  <c r="BA536" i="3"/>
  <c r="BA518" i="3"/>
  <c r="AZ518" i="3" s="1"/>
  <c r="BL516" i="3"/>
  <c r="AZ516" i="3" s="1"/>
  <c r="BA500" i="3"/>
  <c r="AZ500" i="3" s="1"/>
  <c r="F52" i="9"/>
  <c r="F30" i="68"/>
  <c r="F48" i="68" s="1"/>
  <c r="AB46" i="21"/>
  <c r="W8" i="33"/>
  <c r="AC37" i="33"/>
  <c r="W35" i="34"/>
  <c r="AB32" i="34"/>
  <c r="AC25" i="35"/>
  <c r="S20" i="36"/>
  <c r="U42" i="33"/>
  <c r="AB29" i="33"/>
  <c r="U39" i="34"/>
  <c r="AC39" i="34"/>
  <c r="S32" i="37"/>
  <c r="AA22" i="36"/>
  <c r="U12" i="39"/>
  <c r="W19" i="39"/>
  <c r="S43" i="39"/>
  <c r="AA27" i="40"/>
  <c r="AA34" i="33"/>
  <c r="U33" i="36"/>
  <c r="AC44" i="34"/>
  <c r="U17" i="39"/>
  <c r="U36" i="40"/>
  <c r="BP5" i="3"/>
  <c r="G29" i="6" s="1"/>
  <c r="AZ322" i="3"/>
  <c r="AZ313" i="3"/>
  <c r="AZ394" i="3"/>
  <c r="AC36" i="34"/>
  <c r="BL519" i="3"/>
  <c r="AZ519" i="3" s="1"/>
  <c r="BL531" i="3"/>
  <c r="AZ531" i="3" s="1"/>
  <c r="BA496" i="3"/>
  <c r="AZ496" i="3" s="1"/>
  <c r="AA44" i="33"/>
  <c r="J13" i="36"/>
  <c r="J32" i="34"/>
  <c r="F14" i="34"/>
  <c r="H45" i="33"/>
  <c r="F29" i="33"/>
  <c r="U34" i="21"/>
  <c r="BL585" i="3"/>
  <c r="AB33" i="33"/>
  <c r="U33" i="33"/>
  <c r="AC40" i="33"/>
  <c r="W40" i="33"/>
  <c r="AC8" i="34"/>
  <c r="W8" i="34"/>
  <c r="F9" i="34"/>
  <c r="AA9" i="34" s="1"/>
  <c r="H9" i="34"/>
  <c r="H38" i="40"/>
  <c r="F38" i="40"/>
  <c r="J38" i="40"/>
  <c r="W31" i="35"/>
  <c r="AC31" i="35"/>
  <c r="S29" i="35"/>
  <c r="AA29" i="35"/>
  <c r="H28" i="33"/>
  <c r="J28" i="33"/>
  <c r="J24" i="36"/>
  <c r="H24" i="36"/>
  <c r="BA537" i="3"/>
  <c r="AZ537" i="3" s="1"/>
  <c r="S21" i="39"/>
  <c r="F54" i="9"/>
  <c r="F32" i="15"/>
  <c r="F60" i="15" s="1"/>
  <c r="B58" i="43"/>
  <c r="W13" i="21"/>
  <c r="AA17" i="33"/>
  <c r="S37" i="21"/>
  <c r="D68" i="9"/>
  <c r="F30" i="69"/>
  <c r="F48" i="69" s="1"/>
  <c r="F31" i="12"/>
  <c r="B69" i="43"/>
  <c r="C15" i="40"/>
  <c r="W31" i="21"/>
  <c r="S35" i="21"/>
  <c r="U31" i="21"/>
  <c r="U28" i="21"/>
  <c r="AC14" i="34"/>
  <c r="AB47" i="34"/>
  <c r="AB37" i="37"/>
  <c r="AB20" i="35"/>
  <c r="AA13" i="36"/>
  <c r="AB13" i="40"/>
  <c r="W28" i="40"/>
  <c r="W43" i="21"/>
  <c r="S13" i="34"/>
  <c r="U43" i="34"/>
  <c r="AC13" i="37"/>
  <c r="S36" i="37"/>
  <c r="AA32" i="40"/>
  <c r="AC34" i="33"/>
  <c r="AZ345" i="3"/>
  <c r="AZ334" i="3"/>
  <c r="AZ372" i="3"/>
  <c r="AZ347" i="3"/>
  <c r="AZ337" i="3"/>
  <c r="AZ192" i="3"/>
  <c r="AZ376" i="3"/>
  <c r="AZ309" i="3"/>
  <c r="AA11" i="39"/>
  <c r="AC45" i="33"/>
  <c r="BL503" i="3"/>
  <c r="AZ503" i="3" s="1"/>
  <c r="BL515" i="3"/>
  <c r="AZ515" i="3" s="1"/>
  <c r="BL523" i="3"/>
  <c r="AZ523" i="3" s="1"/>
  <c r="BL527" i="3"/>
  <c r="AZ527" i="3" s="1"/>
  <c r="BL547" i="3"/>
  <c r="AZ547" i="3" s="1"/>
  <c r="AZ569" i="3"/>
  <c r="AZ575" i="3"/>
  <c r="AZ558" i="3"/>
  <c r="AZ566" i="3"/>
  <c r="AZ582" i="3"/>
  <c r="AA14" i="37"/>
  <c r="F32" i="34"/>
  <c r="F28" i="33"/>
  <c r="S28" i="34"/>
  <c r="AB39" i="40"/>
  <c r="J9" i="34"/>
  <c r="S38" i="34"/>
  <c r="AA38" i="34"/>
  <c r="AZ513" i="3"/>
  <c r="U12" i="35"/>
  <c r="AB12" i="35"/>
  <c r="F12" i="35"/>
  <c r="S12" i="35" s="1"/>
  <c r="J12" i="35"/>
  <c r="BA526" i="3"/>
  <c r="AZ526" i="3" s="1"/>
  <c r="BL514" i="3"/>
  <c r="AZ514" i="3" s="1"/>
  <c r="F28" i="15"/>
  <c r="F32" i="67"/>
  <c r="F60" i="67" s="1"/>
  <c r="F28" i="67"/>
  <c r="C28" i="67" s="1"/>
  <c r="AA15" i="21"/>
  <c r="AB44" i="21"/>
  <c r="AB45" i="34"/>
  <c r="AA16" i="35"/>
  <c r="S24" i="35"/>
  <c r="W23" i="36"/>
  <c r="AB28" i="36"/>
  <c r="U8" i="40"/>
  <c r="S31" i="40"/>
  <c r="AB28" i="40"/>
  <c r="AA36" i="21"/>
  <c r="AB39" i="21"/>
  <c r="S43" i="33"/>
  <c r="U15" i="34"/>
  <c r="S17" i="34"/>
  <c r="U14" i="39"/>
  <c r="AB19" i="40"/>
  <c r="AC17" i="40"/>
  <c r="BB5" i="3"/>
  <c r="E5" i="6" s="1"/>
  <c r="D9" i="68" s="1"/>
  <c r="AZ362" i="3"/>
  <c r="AZ390" i="3"/>
  <c r="AZ351" i="3"/>
  <c r="AZ336" i="3"/>
  <c r="AZ199" i="3"/>
  <c r="S42" i="39"/>
  <c r="AB33" i="40"/>
  <c r="AC31" i="33"/>
  <c r="BL511" i="3"/>
  <c r="AZ511" i="3" s="1"/>
  <c r="BL539" i="3"/>
  <c r="AZ539" i="3" s="1"/>
  <c r="BL543" i="3"/>
  <c r="AZ543" i="3" s="1"/>
  <c r="AB30" i="21"/>
  <c r="AA11" i="36"/>
  <c r="S11" i="36"/>
  <c r="H14" i="34"/>
  <c r="J29" i="33"/>
  <c r="F46" i="21"/>
  <c r="U17" i="34"/>
  <c r="AB17" i="34"/>
  <c r="G585" i="3"/>
  <c r="BL587" i="3"/>
  <c r="AZ587" i="3" s="1"/>
  <c r="BL586" i="3"/>
  <c r="AZ586" i="3" s="1"/>
  <c r="BA585" i="3"/>
  <c r="AZ585" i="3" s="1"/>
  <c r="J45" i="21"/>
  <c r="F45" i="21"/>
  <c r="J23" i="35"/>
  <c r="H23" i="35"/>
  <c r="G552" i="3"/>
  <c r="AZ402" i="3"/>
  <c r="AZ406" i="3"/>
  <c r="AZ487" i="3"/>
  <c r="F44" i="39"/>
  <c r="G582" i="3"/>
  <c r="G574" i="3"/>
  <c r="BA551" i="3"/>
  <c r="AZ551" i="3" s="1"/>
  <c r="BA550" i="3"/>
  <c r="AZ550" i="3" s="1"/>
  <c r="BL548" i="3"/>
  <c r="AZ548" i="3" s="1"/>
  <c r="AZ564" i="3"/>
  <c r="AZ580" i="3"/>
  <c r="F34" i="36"/>
  <c r="W8" i="40"/>
  <c r="AB41" i="21"/>
  <c r="J9" i="36"/>
  <c r="AZ443" i="3"/>
  <c r="AZ451" i="3"/>
  <c r="AZ469" i="3"/>
  <c r="AZ483" i="3"/>
  <c r="AA21" i="34"/>
  <c r="S21" i="34"/>
  <c r="E28" i="71"/>
  <c r="E27" i="71" s="1"/>
  <c r="E26" i="71" s="1"/>
  <c r="AA28" i="71"/>
  <c r="BL16" i="3"/>
  <c r="AZ16" i="3" s="1"/>
  <c r="BA401" i="3"/>
  <c r="AZ401" i="3" s="1"/>
  <c r="BA403" i="3"/>
  <c r="AZ403" i="3" s="1"/>
  <c r="BA404" i="3"/>
  <c r="AZ404" i="3" s="1"/>
  <c r="BA405" i="3"/>
  <c r="AZ405" i="3" s="1"/>
  <c r="G409" i="3"/>
  <c r="BL410" i="3"/>
  <c r="AZ410" i="3" s="1"/>
  <c r="G419" i="3"/>
  <c r="BA422" i="3"/>
  <c r="G430" i="3"/>
  <c r="BL431" i="3"/>
  <c r="BL434" i="3"/>
  <c r="G437" i="3"/>
  <c r="BL438" i="3"/>
  <c r="BL439" i="3"/>
  <c r="BA441" i="3"/>
  <c r="AZ441" i="3" s="1"/>
  <c r="BL445" i="3"/>
  <c r="BL446" i="3"/>
  <c r="BL449" i="3"/>
  <c r="BL450" i="3"/>
  <c r="BL452" i="3"/>
  <c r="AZ452" i="3" s="1"/>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AZ220" i="3" s="1"/>
  <c r="BL221" i="3"/>
  <c r="BL223" i="3"/>
  <c r="BL233" i="3"/>
  <c r="BL255" i="3"/>
  <c r="AZ255" i="3" s="1"/>
  <c r="BL257" i="3"/>
  <c r="AZ257" i="3" s="1"/>
  <c r="BL258" i="3"/>
  <c r="BL260" i="3"/>
  <c r="BL263" i="3"/>
  <c r="BA273" i="3"/>
  <c r="BL275" i="3"/>
  <c r="BL285" i="3"/>
  <c r="BL287" i="3"/>
  <c r="BA294" i="3"/>
  <c r="BL299" i="3"/>
  <c r="BL113" i="3"/>
  <c r="BL115" i="3"/>
  <c r="AZ115" i="3" s="1"/>
  <c r="AA21" i="37"/>
  <c r="S21" i="37"/>
  <c r="W25" i="40"/>
  <c r="AC25" i="40"/>
  <c r="U76" i="71"/>
  <c r="E75" i="71"/>
  <c r="E74" i="71" s="1"/>
  <c r="G558" i="3"/>
  <c r="G399" i="3"/>
  <c r="BL400" i="3"/>
  <c r="AZ400" i="3" s="1"/>
  <c r="BL408" i="3"/>
  <c r="BL411" i="3"/>
  <c r="BL413" i="3"/>
  <c r="AZ413" i="3" s="1"/>
  <c r="G416" i="3"/>
  <c r="BL417" i="3"/>
  <c r="BL418" i="3"/>
  <c r="AZ418" i="3" s="1"/>
  <c r="BL420" i="3"/>
  <c r="G423" i="3"/>
  <c r="BL424" i="3"/>
  <c r="AZ424" i="3" s="1"/>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AZ385" i="3" s="1"/>
  <c r="BA397" i="3"/>
  <c r="BL397" i="3"/>
  <c r="BA210" i="3"/>
  <c r="BL210" i="3"/>
  <c r="BL212" i="3"/>
  <c r="BL214" i="3"/>
  <c r="AZ214" i="3" s="1"/>
  <c r="BL231" i="3"/>
  <c r="AZ231" i="3" s="1"/>
  <c r="BA235" i="3"/>
  <c r="AZ235" i="3" s="1"/>
  <c r="BA236" i="3"/>
  <c r="BA238" i="3"/>
  <c r="AZ238" i="3" s="1"/>
  <c r="BA243" i="3"/>
  <c r="AZ243" i="3" s="1"/>
  <c r="BL248" i="3"/>
  <c r="AZ248" i="3" s="1"/>
  <c r="BL250" i="3"/>
  <c r="AZ250" i="3" s="1"/>
  <c r="BA270" i="3"/>
  <c r="AZ270" i="3" s="1"/>
  <c r="BA271" i="3"/>
  <c r="BL271" i="3"/>
  <c r="BL289" i="3"/>
  <c r="BL292" i="3"/>
  <c r="BA156" i="3"/>
  <c r="AZ156" i="3" s="1"/>
  <c r="BL181" i="3"/>
  <c r="BA201" i="3"/>
  <c r="AZ201" i="3" s="1"/>
  <c r="W21" i="21"/>
  <c r="AC21" i="21"/>
  <c r="C64" i="71"/>
  <c r="T64" i="71" s="1"/>
  <c r="D63" i="71"/>
  <c r="Y37" i="71"/>
  <c r="Z37" i="71" s="1"/>
  <c r="C38" i="71"/>
  <c r="Y25" i="71"/>
  <c r="Z25" i="71" s="1"/>
  <c r="BL398" i="3"/>
  <c r="AZ398" i="3" s="1"/>
  <c r="G402" i="3"/>
  <c r="BL403" i="3"/>
  <c r="G405" i="3"/>
  <c r="G406" i="3"/>
  <c r="BA408" i="3"/>
  <c r="BA409" i="3"/>
  <c r="AZ409" i="3" s="1"/>
  <c r="BA411" i="3"/>
  <c r="AZ411" i="3" s="1"/>
  <c r="BL414" i="3"/>
  <c r="AZ414" i="3" s="1"/>
  <c r="BL415" i="3"/>
  <c r="AZ415" i="3" s="1"/>
  <c r="BA417" i="3"/>
  <c r="AZ417" i="3" s="1"/>
  <c r="BL421" i="3"/>
  <c r="AZ421" i="3" s="1"/>
  <c r="BL422" i="3"/>
  <c r="BL425" i="3"/>
  <c r="AZ425" i="3" s="1"/>
  <c r="BL426" i="3"/>
  <c r="AZ426" i="3" s="1"/>
  <c r="BA428" i="3"/>
  <c r="BA429" i="3"/>
  <c r="BA430" i="3"/>
  <c r="AZ430" i="3" s="1"/>
  <c r="BA432" i="3"/>
  <c r="AZ432" i="3" s="1"/>
  <c r="BA434" i="3"/>
  <c r="AZ434" i="3" s="1"/>
  <c r="BA436" i="3"/>
  <c r="BA438" i="3"/>
  <c r="G442" i="3"/>
  <c r="G443" i="3"/>
  <c r="BA446" i="3"/>
  <c r="AZ446" i="3" s="1"/>
  <c r="BA450" i="3"/>
  <c r="AZ450" i="3" s="1"/>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BA226" i="3"/>
  <c r="BA229" i="3"/>
  <c r="BL229" i="3"/>
  <c r="BA233" i="3"/>
  <c r="AZ233" i="3" s="1"/>
  <c r="BL234" i="3"/>
  <c r="BA237" i="3"/>
  <c r="AZ237" i="3" s="1"/>
  <c r="BL240" i="3"/>
  <c r="AZ240" i="3" s="1"/>
  <c r="BA242" i="3"/>
  <c r="AZ242" i="3" s="1"/>
  <c r="BL245" i="3"/>
  <c r="AZ245" i="3" s="1"/>
  <c r="G247" i="3"/>
  <c r="BA253" i="3"/>
  <c r="BA260" i="3"/>
  <c r="AZ260" i="3" s="1"/>
  <c r="BL261" i="3"/>
  <c r="BA263" i="3"/>
  <c r="BA267" i="3"/>
  <c r="AZ267" i="3" s="1"/>
  <c r="BA269" i="3"/>
  <c r="AZ269" i="3" s="1"/>
  <c r="BA272" i="3"/>
  <c r="AZ272" i="3" s="1"/>
  <c r="BA275" i="3"/>
  <c r="BA276" i="3"/>
  <c r="BA279" i="3"/>
  <c r="BA281" i="3"/>
  <c r="G286" i="3"/>
  <c r="BL286" i="3"/>
  <c r="AZ286" i="3" s="1"/>
  <c r="G289" i="3"/>
  <c r="G295" i="3"/>
  <c r="BA296" i="3"/>
  <c r="G123" i="3"/>
  <c r="BA177" i="3"/>
  <c r="AZ177" i="3" s="1"/>
  <c r="BL198" i="3"/>
  <c r="P27" i="6"/>
  <c r="D67" i="71"/>
  <c r="C66" i="71"/>
  <c r="O67" i="71"/>
  <c r="X33" i="71"/>
  <c r="X31" i="71"/>
  <c r="X34" i="71"/>
  <c r="X26" i="71"/>
  <c r="BL123" i="3"/>
  <c r="AZ123" i="3" s="1"/>
  <c r="BA128" i="3"/>
  <c r="AZ128" i="3" s="1"/>
  <c r="BL134" i="3"/>
  <c r="BL137" i="3"/>
  <c r="BA146" i="3"/>
  <c r="AZ146" i="3" s="1"/>
  <c r="BA150" i="3"/>
  <c r="G159" i="3"/>
  <c r="BL167" i="3"/>
  <c r="G175" i="3"/>
  <c r="G176" i="3"/>
  <c r="BL178" i="3"/>
  <c r="BA180" i="3"/>
  <c r="AZ180" i="3" s="1"/>
  <c r="BL182" i="3"/>
  <c r="G183" i="3"/>
  <c r="BA185" i="3"/>
  <c r="AZ185" i="3" s="1"/>
  <c r="BL191" i="3"/>
  <c r="G192" i="3"/>
  <c r="BA193" i="3"/>
  <c r="BA196" i="3"/>
  <c r="AZ196" i="3" s="1"/>
  <c r="G203" i="3"/>
  <c r="BA205" i="3"/>
  <c r="AZ205" i="3" s="1"/>
  <c r="G20" i="3"/>
  <c r="BL20" i="3"/>
  <c r="AZ20" i="3" s="1"/>
  <c r="BA21" i="3"/>
  <c r="BL25" i="3"/>
  <c r="AZ25" i="3" s="1"/>
  <c r="BL27" i="3"/>
  <c r="BA28" i="3"/>
  <c r="AZ28" i="3" s="1"/>
  <c r="BL30" i="3"/>
  <c r="BL31" i="3"/>
  <c r="AZ31" i="3" s="1"/>
  <c r="BA40" i="3"/>
  <c r="BL44" i="3"/>
  <c r="G45" i="3"/>
  <c r="BL45" i="3"/>
  <c r="AZ45" i="3" s="1"/>
  <c r="BL49" i="3"/>
  <c r="AZ49" i="3" s="1"/>
  <c r="BL50" i="3"/>
  <c r="AZ50" i="3" s="1"/>
  <c r="BL51" i="3"/>
  <c r="AZ51" i="3" s="1"/>
  <c r="G53" i="3"/>
  <c r="BL53" i="3"/>
  <c r="BL57" i="3"/>
  <c r="AZ57" i="3" s="1"/>
  <c r="G59" i="3"/>
  <c r="BA87" i="3"/>
  <c r="AZ87" i="3" s="1"/>
  <c r="D34" i="71"/>
  <c r="C35" i="71"/>
  <c r="C55" i="71"/>
  <c r="D54" i="71"/>
  <c r="V24" i="71"/>
  <c r="E23" i="71"/>
  <c r="E22" i="71" s="1"/>
  <c r="E21" i="71" s="1"/>
  <c r="E20" i="71" s="1"/>
  <c r="E19" i="71" s="1"/>
  <c r="E18" i="71" s="1"/>
  <c r="E17" i="71" s="1"/>
  <c r="E16" i="71"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BL197" i="3"/>
  <c r="AZ197" i="3" s="1"/>
  <c r="BL199" i="3"/>
  <c r="BA200" i="3"/>
  <c r="AZ200" i="3" s="1"/>
  <c r="BA202" i="3"/>
  <c r="BL207" i="3"/>
  <c r="AZ207" i="3" s="1"/>
  <c r="BA27" i="3"/>
  <c r="BA33" i="3"/>
  <c r="BA36" i="3"/>
  <c r="BL38" i="3"/>
  <c r="BA39" i="3"/>
  <c r="BL47" i="3"/>
  <c r="AZ47" i="3" s="1"/>
  <c r="BA52" i="3"/>
  <c r="AZ52" i="3" s="1"/>
  <c r="BA53" i="3"/>
  <c r="AZ53" i="3" s="1"/>
  <c r="BA54" i="3"/>
  <c r="BA62" i="3"/>
  <c r="AZ62" i="3" s="1"/>
  <c r="BA67" i="3"/>
  <c r="AZ67" i="3" s="1"/>
  <c r="BL77" i="3"/>
  <c r="AZ77" i="3" s="1"/>
  <c r="BA79" i="3"/>
  <c r="AZ79" i="3" s="1"/>
  <c r="BL97" i="3"/>
  <c r="AZ97" i="3" s="1"/>
  <c r="BL101" i="3"/>
  <c r="AZ101" i="3" s="1"/>
  <c r="BL102" i="3"/>
  <c r="F3" i="35"/>
  <c r="D51" i="71"/>
  <c r="AB25" i="71"/>
  <c r="C47" i="71"/>
  <c r="D47" i="71" s="1"/>
  <c r="AA34" i="71"/>
  <c r="Y35" i="71"/>
  <c r="Z35" i="71" s="1"/>
  <c r="X35" i="71"/>
  <c r="X36" i="71"/>
  <c r="AB37" i="71"/>
  <c r="F38" i="71"/>
  <c r="F39" i="71" s="1"/>
  <c r="F40" i="71" s="1"/>
  <c r="V40" i="71" s="1"/>
  <c r="F67" i="71"/>
  <c r="V68" i="71"/>
  <c r="Q68" i="71"/>
  <c r="AA27" i="71"/>
  <c r="AA3" i="71"/>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BL282" i="3"/>
  <c r="BA284" i="3"/>
  <c r="AZ284" i="3" s="1"/>
  <c r="BL290" i="3"/>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BA30" i="3"/>
  <c r="G38" i="3"/>
  <c r="BA38" i="3"/>
  <c r="BL40" i="3"/>
  <c r="BL41" i="3"/>
  <c r="AZ41" i="3" s="1"/>
  <c r="BL64" i="3"/>
  <c r="BL70" i="3"/>
  <c r="AZ70" i="3" s="1"/>
  <c r="BL71" i="3"/>
  <c r="AZ71" i="3" s="1"/>
  <c r="BL76" i="3"/>
  <c r="G89" i="3"/>
  <c r="BA90" i="3"/>
  <c r="AB29" i="39"/>
  <c r="U29" i="39"/>
  <c r="S25" i="40"/>
  <c r="D52" i="71"/>
  <c r="E71" i="71"/>
  <c r="E70" i="71" s="1"/>
  <c r="B27" i="71"/>
  <c r="B26" i="71" s="1"/>
  <c r="S28" i="71"/>
  <c r="AA30" i="71"/>
  <c r="E35" i="71"/>
  <c r="E36" i="71" s="1"/>
  <c r="U36" i="71" s="1"/>
  <c r="B35" i="71"/>
  <c r="B36" i="71" s="1"/>
  <c r="S36" i="71" s="1"/>
  <c r="Y30" i="71"/>
  <c r="Z30" i="71" s="1"/>
  <c r="C31" i="71"/>
  <c r="Y27" i="71"/>
  <c r="Z27" i="71" s="1"/>
  <c r="F34" i="71"/>
  <c r="F35" i="71" s="1"/>
  <c r="F36" i="71" s="1"/>
  <c r="V36" i="71" s="1"/>
  <c r="AB33" i="71"/>
  <c r="AB34" i="71"/>
  <c r="X39" i="71"/>
  <c r="X38" i="71"/>
  <c r="B67" i="71"/>
  <c r="S68" i="71"/>
  <c r="BA18" i="3"/>
  <c r="AZ18" i="3" s="1"/>
  <c r="G21" i="3"/>
  <c r="BL21" i="3"/>
  <c r="G23" i="3"/>
  <c r="G29" i="3"/>
  <c r="BL29" i="3"/>
  <c r="AZ29" i="3" s="1"/>
  <c r="G33" i="3"/>
  <c r="G34" i="3"/>
  <c r="BA37" i="3"/>
  <c r="G39" i="3"/>
  <c r="BL39" i="3"/>
  <c r="G43" i="3"/>
  <c r="G44" i="3"/>
  <c r="G56" i="3"/>
  <c r="BL56" i="3"/>
  <c r="AZ56" i="3" s="1"/>
  <c r="BA58" i="3"/>
  <c r="AZ58" i="3" s="1"/>
  <c r="BL59" i="3"/>
  <c r="BL60" i="3"/>
  <c r="AZ60" i="3" s="1"/>
  <c r="BA61" i="3"/>
  <c r="BA63" i="3"/>
  <c r="AZ63" i="3" s="1"/>
  <c r="BL65" i="3"/>
  <c r="AZ65" i="3" s="1"/>
  <c r="BL66" i="3"/>
  <c r="AZ66" i="3" s="1"/>
  <c r="BA72" i="3"/>
  <c r="AZ72" i="3" s="1"/>
  <c r="G76" i="3"/>
  <c r="G79" i="3"/>
  <c r="BL81" i="3"/>
  <c r="BA82" i="3"/>
  <c r="BL85" i="3"/>
  <c r="BA86" i="3"/>
  <c r="AZ86" i="3" s="1"/>
  <c r="BA92" i="3"/>
  <c r="AZ92" i="3" s="1"/>
  <c r="BA95" i="3"/>
  <c r="AZ95" i="3" s="1"/>
  <c r="BA100" i="3"/>
  <c r="AZ100" i="3" s="1"/>
  <c r="BA102" i="3"/>
  <c r="AZ102" i="3" s="1"/>
  <c r="BL105" i="3"/>
  <c r="AZ105" i="3" s="1"/>
  <c r="G107" i="3"/>
  <c r="BL107" i="3"/>
  <c r="C25" i="40"/>
  <c r="B88" i="43"/>
  <c r="C28" i="71"/>
  <c r="Y28" i="71"/>
  <c r="Z28" i="71" s="1"/>
  <c r="AB31" i="71"/>
  <c r="AB36" i="71"/>
  <c r="AA36" i="71"/>
  <c r="AA37" i="71"/>
  <c r="T76" i="71"/>
  <c r="C75" i="71"/>
  <c r="D76" i="71"/>
  <c r="X25" i="71"/>
  <c r="BA42" i="3"/>
  <c r="G46" i="3"/>
  <c r="G47" i="3"/>
  <c r="BL48" i="3"/>
  <c r="AZ48" i="3" s="1"/>
  <c r="BL54" i="3"/>
  <c r="AZ54" i="3" s="1"/>
  <c r="BL55" i="3"/>
  <c r="AZ55" i="3" s="1"/>
  <c r="G57" i="3"/>
  <c r="G58" i="3"/>
  <c r="BA59" i="3"/>
  <c r="AZ59" i="3" s="1"/>
  <c r="G61" i="3"/>
  <c r="BL61" i="3"/>
  <c r="G64" i="3"/>
  <c r="BA64" i="3"/>
  <c r="AZ64" i="3" s="1"/>
  <c r="G67" i="3"/>
  <c r="BL68" i="3"/>
  <c r="AZ68" i="3" s="1"/>
  <c r="BA69" i="3"/>
  <c r="AZ69" i="3" s="1"/>
  <c r="G72" i="3"/>
  <c r="BL73" i="3"/>
  <c r="BA74" i="3"/>
  <c r="AZ74" i="3" s="1"/>
  <c r="BA75" i="3"/>
  <c r="AZ75" i="3" s="1"/>
  <c r="BL82" i="3"/>
  <c r="G83" i="3"/>
  <c r="BA84" i="3"/>
  <c r="BL88" i="3"/>
  <c r="AZ88" i="3" s="1"/>
  <c r="G90" i="3"/>
  <c r="BL90" i="3"/>
  <c r="BL94" i="3"/>
  <c r="AZ94" i="3" s="1"/>
  <c r="G111" i="3"/>
  <c r="F40" i="68"/>
  <c r="C21" i="68"/>
  <c r="P65" i="71"/>
  <c r="P66" i="71"/>
  <c r="D68" i="71"/>
  <c r="B47" i="71"/>
  <c r="B48" i="71" s="1"/>
  <c r="S48" i="71" s="1"/>
  <c r="E51" i="71"/>
  <c r="E52" i="71" s="1"/>
  <c r="U52" i="71" s="1"/>
  <c r="T72" i="71"/>
  <c r="C71" i="71"/>
  <c r="T80" i="71"/>
  <c r="C79" i="71"/>
  <c r="AB26" i="71"/>
  <c r="V76" i="71"/>
  <c r="F75" i="71"/>
  <c r="F74" i="71" s="1"/>
  <c r="S80" i="71"/>
  <c r="B79" i="71"/>
  <c r="B78" i="71" s="1"/>
  <c r="D84" i="71"/>
  <c r="C83" i="71"/>
  <c r="F23" i="71"/>
  <c r="F22" i="71" s="1"/>
  <c r="F21" i="71" s="1"/>
  <c r="F20" i="71" s="1"/>
  <c r="F19" i="71" s="1"/>
  <c r="F18" i="71" s="1"/>
  <c r="F17" i="71" s="1"/>
  <c r="F16" i="71" s="1"/>
  <c r="F15" i="71" s="1"/>
  <c r="F14" i="71" s="1"/>
  <c r="F13" i="71" s="1"/>
  <c r="F12" i="71" s="1"/>
  <c r="F11" i="71" s="1"/>
  <c r="F10" i="71" s="1"/>
  <c r="F9" i="71" s="1"/>
  <c r="F8" i="71" s="1"/>
  <c r="F7" i="71" s="1"/>
  <c r="F6" i="71" s="1"/>
  <c r="F5" i="71" s="1"/>
  <c r="BA68" i="3"/>
  <c r="BA73" i="3"/>
  <c r="AZ73" i="3" s="1"/>
  <c r="BA80" i="3"/>
  <c r="G84" i="3"/>
  <c r="BL84" i="3"/>
  <c r="BA89" i="3"/>
  <c r="G99" i="3"/>
  <c r="G103" i="3"/>
  <c r="BA103" i="3"/>
  <c r="AZ103" i="3" s="1"/>
  <c r="BA104" i="3"/>
  <c r="BA106" i="3"/>
  <c r="BL108" i="3"/>
  <c r="AZ108" i="3" s="1"/>
  <c r="G110" i="3"/>
  <c r="BL111" i="3"/>
  <c r="AZ111" i="3" s="1"/>
  <c r="X28" i="71"/>
  <c r="X32" i="71"/>
  <c r="AB38" i="7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A12" i="35"/>
  <c r="AC45" i="39"/>
  <c r="AA12" i="34"/>
  <c r="S34" i="21"/>
  <c r="J34" i="35"/>
  <c r="F34" i="35"/>
  <c r="J26" i="37"/>
  <c r="F26" i="37"/>
  <c r="F40" i="40"/>
  <c r="G578" i="3"/>
  <c r="AZ431" i="3"/>
  <c r="AZ442" i="3"/>
  <c r="AZ449" i="3"/>
  <c r="AZ468" i="3"/>
  <c r="W35" i="39"/>
  <c r="F27" i="34"/>
  <c r="C21" i="39"/>
  <c r="U9" i="36"/>
  <c r="U14" i="37"/>
  <c r="H12" i="21"/>
  <c r="G526" i="3"/>
  <c r="AZ420" i="3"/>
  <c r="AZ436" i="3"/>
  <c r="G28" i="6"/>
  <c r="E28" i="6" s="1"/>
  <c r="K14" i="1" s="1"/>
  <c r="U26" i="21"/>
  <c r="W36" i="39"/>
  <c r="U23" i="40"/>
  <c r="AA39" i="37"/>
  <c r="AC16" i="36"/>
  <c r="AB12" i="33"/>
  <c r="C27" i="39"/>
  <c r="U40" i="40"/>
  <c r="AC9" i="40"/>
  <c r="W36" i="35"/>
  <c r="J12" i="21"/>
  <c r="B73" i="43"/>
  <c r="B76" i="43"/>
  <c r="F9" i="36"/>
  <c r="J40" i="40"/>
  <c r="G562" i="3"/>
  <c r="AZ463" i="3"/>
  <c r="AZ489" i="3"/>
  <c r="AZ212"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BA261" i="3"/>
  <c r="AZ261" i="3" s="1"/>
  <c r="BA264" i="3"/>
  <c r="BA266" i="3"/>
  <c r="G272" i="3"/>
  <c r="G275" i="3"/>
  <c r="BL276" i="3"/>
  <c r="BL279" i="3"/>
  <c r="BL281" i="3"/>
  <c r="BA285" i="3"/>
  <c r="AZ285" i="3" s="1"/>
  <c r="BA287" i="3"/>
  <c r="AZ290" i="3"/>
  <c r="AZ134" i="3"/>
  <c r="BA289" i="3"/>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BL202" i="3"/>
  <c r="AZ30" i="3"/>
  <c r="BL36" i="3"/>
  <c r="AZ36" i="3" s="1"/>
  <c r="AZ40" i="3"/>
  <c r="AZ104" i="3"/>
  <c r="AZ106" i="3"/>
  <c r="G200" i="3"/>
  <c r="G207" i="3"/>
  <c r="BA23" i="3"/>
  <c r="AZ23" i="3" s="1"/>
  <c r="BA24" i="3"/>
  <c r="AZ24" i="3" s="1"/>
  <c r="BL26" i="3"/>
  <c r="AZ26" i="3" s="1"/>
  <c r="BL32" i="3"/>
  <c r="AZ32" i="3" s="1"/>
  <c r="BA34" i="3"/>
  <c r="AZ34" i="3" s="1"/>
  <c r="BA35" i="3"/>
  <c r="AZ35" i="3" s="1"/>
  <c r="BL37" i="3"/>
  <c r="AZ37" i="3" s="1"/>
  <c r="BL42" i="3"/>
  <c r="BA44" i="3"/>
  <c r="AZ44" i="3" s="1"/>
  <c r="BA206" i="3"/>
  <c r="BL22" i="3"/>
  <c r="AZ22" i="3" s="1"/>
  <c r="BL33" i="3"/>
  <c r="AZ33" i="3" s="1"/>
  <c r="BL43" i="3"/>
  <c r="AZ43" i="3" s="1"/>
  <c r="BL46" i="3"/>
  <c r="AZ46" i="3" s="1"/>
  <c r="AZ90" i="3"/>
  <c r="BL78" i="3"/>
  <c r="AZ78" i="3" s="1"/>
  <c r="BA83" i="3"/>
  <c r="AZ83" i="3" s="1"/>
  <c r="G91" i="3"/>
  <c r="BL95" i="3"/>
  <c r="BL98" i="3"/>
  <c r="AZ98" i="3" s="1"/>
  <c r="BL109" i="3"/>
  <c r="AZ109" i="3" s="1"/>
  <c r="AB21" i="21"/>
  <c r="G77" i="3"/>
  <c r="BA81" i="3"/>
  <c r="AZ81" i="3" s="1"/>
  <c r="BA85" i="3"/>
  <c r="BL89" i="3"/>
  <c r="G94" i="3"/>
  <c r="G97" i="3"/>
  <c r="G100" i="3"/>
  <c r="BA107" i="3"/>
  <c r="AZ107" i="3" s="1"/>
  <c r="BA112" i="3"/>
  <c r="AZ112" i="3" s="1"/>
  <c r="AC21" i="34"/>
  <c r="V28" i="71"/>
  <c r="BA76" i="3"/>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1" i="6"/>
  <c r="E60" i="39" s="1"/>
  <c r="H16"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AF3" i="71"/>
  <c r="P26" i="43" s="1"/>
  <c r="Q71" i="15"/>
  <c r="I1" i="73"/>
  <c r="B39" i="1" s="1"/>
  <c r="M7" i="15"/>
  <c r="J6" i="15" s="1"/>
  <c r="F50" i="15"/>
  <c r="F51" i="15"/>
  <c r="F71" i="15"/>
  <c r="C6" i="15"/>
  <c r="N59" i="15"/>
  <c r="F66" i="15"/>
  <c r="F64" i="15"/>
  <c r="C27" i="15"/>
  <c r="F65" i="15"/>
  <c r="B13" i="70"/>
  <c r="F68" i="15"/>
  <c r="C36" i="69"/>
  <c r="F13" i="67"/>
  <c r="F9" i="67"/>
  <c r="D5" i="73"/>
  <c r="D4" i="73"/>
  <c r="M28" i="67"/>
  <c r="M29" i="67"/>
  <c r="C16" i="15"/>
  <c r="J15" i="67"/>
  <c r="F7" i="67"/>
  <c r="L47" i="67"/>
  <c r="F42" i="67"/>
  <c r="F40" i="67"/>
  <c r="D7" i="73"/>
  <c r="F37" i="67"/>
  <c r="F8" i="67"/>
  <c r="F43" i="67"/>
  <c r="M23" i="67"/>
  <c r="M8" i="67"/>
  <c r="C76" i="67"/>
  <c r="M26" i="67"/>
  <c r="F6" i="67"/>
  <c r="L48" i="15"/>
  <c r="D6" i="73"/>
  <c r="F38" i="67"/>
  <c r="F36" i="67"/>
  <c r="F26" i="67"/>
  <c r="L48" i="67"/>
  <c r="M6" i="67"/>
  <c r="D3" i="73"/>
  <c r="M22" i="67"/>
  <c r="M9" i="67"/>
  <c r="J7" i="36" l="1"/>
  <c r="J57" i="15"/>
  <c r="J55" i="15" s="1"/>
  <c r="J58" i="15" s="1"/>
  <c r="Q50" i="15" s="1"/>
  <c r="I54" i="15"/>
  <c r="L58" i="15"/>
  <c r="Q73" i="15" s="1"/>
  <c r="F66" i="67"/>
  <c r="AA31" i="39"/>
  <c r="S31" i="39"/>
  <c r="W27" i="21"/>
  <c r="AC27" i="21"/>
  <c r="AZ89" i="3"/>
  <c r="AZ42" i="3"/>
  <c r="AZ138" i="3"/>
  <c r="AZ279" i="3"/>
  <c r="AZ266" i="3"/>
  <c r="V20" i="71"/>
  <c r="AZ297" i="3"/>
  <c r="AZ241" i="3"/>
  <c r="AZ353" i="3"/>
  <c r="AZ428" i="3"/>
  <c r="E29" i="6"/>
  <c r="K15" i="1" s="1"/>
  <c r="AZ536" i="3"/>
  <c r="AZ265" i="3"/>
  <c r="AZ186" i="3"/>
  <c r="AZ301" i="3"/>
  <c r="AZ251" i="3"/>
  <c r="AZ247" i="3"/>
  <c r="AZ249" i="3"/>
  <c r="AC44" i="39"/>
  <c r="W44" i="39"/>
  <c r="AA19" i="21"/>
  <c r="S19" i="21"/>
  <c r="AB31" i="39"/>
  <c r="U31" i="39"/>
  <c r="D121" i="9"/>
  <c r="D7" i="52" s="1"/>
  <c r="D6" i="52"/>
  <c r="AZ521" i="3"/>
  <c r="AZ533" i="3"/>
  <c r="U27" i="21"/>
  <c r="AB27" i="21"/>
  <c r="AZ157" i="3"/>
  <c r="AZ462" i="3"/>
  <c r="U44" i="39"/>
  <c r="AB44" i="39"/>
  <c r="AZ445" i="3"/>
  <c r="AZ422" i="3"/>
  <c r="C30" i="69"/>
  <c r="S9" i="34"/>
  <c r="AZ289" i="3"/>
  <c r="AZ474" i="3"/>
  <c r="AZ130" i="3"/>
  <c r="AZ244" i="3"/>
  <c r="AZ239" i="3"/>
  <c r="AZ27" i="3"/>
  <c r="AZ276" i="3"/>
  <c r="AZ368" i="3"/>
  <c r="AZ471" i="3"/>
  <c r="AZ438" i="3"/>
  <c r="AZ408" i="3"/>
  <c r="AZ467" i="3"/>
  <c r="AZ439" i="3"/>
  <c r="AZ133" i="3"/>
  <c r="AZ448" i="3"/>
  <c r="G10" i="1"/>
  <c r="G16" i="1" s="1"/>
  <c r="AZ444" i="3"/>
  <c r="T44" i="71"/>
  <c r="D44" i="71"/>
  <c r="U39" i="39"/>
  <c r="AB39" i="39"/>
  <c r="AC39" i="40"/>
  <c r="W39" i="40"/>
  <c r="AC9" i="33"/>
  <c r="W9" i="33"/>
  <c r="S32" i="21"/>
  <c r="U32" i="21"/>
  <c r="AB42" i="21"/>
  <c r="AB17" i="21"/>
  <c r="U17" i="21"/>
  <c r="W17" i="21"/>
  <c r="F11" i="83"/>
  <c r="M11" i="83"/>
  <c r="J10" i="83" s="1"/>
  <c r="G30" i="6"/>
  <c r="G31" i="6" s="1"/>
  <c r="G26" i="43"/>
  <c r="D19" i="12"/>
  <c r="C19" i="12" s="1"/>
  <c r="N94" i="46"/>
  <c r="P6" i="1"/>
  <c r="C13" i="12" s="1"/>
  <c r="J26" i="43"/>
  <c r="D9" i="11"/>
  <c r="C9" i="11" s="1"/>
  <c r="E15" i="6"/>
  <c r="E64" i="39" s="1"/>
  <c r="E13" i="6"/>
  <c r="E58" i="40" s="1"/>
  <c r="E12" i="6"/>
  <c r="E57" i="40" s="1"/>
  <c r="E14" i="6"/>
  <c r="D9" i="69"/>
  <c r="C9" i="69" s="1"/>
  <c r="E10" i="6"/>
  <c r="E8" i="6"/>
  <c r="F27" i="6" s="1"/>
  <c r="F31" i="6" s="1"/>
  <c r="N370" i="46"/>
  <c r="F26" i="43"/>
  <c r="E26" i="43"/>
  <c r="K16" i="1"/>
  <c r="L58" i="67"/>
  <c r="Q60" i="67" s="1"/>
  <c r="N59" i="67"/>
  <c r="L59" i="67"/>
  <c r="Q61" i="67" s="1"/>
  <c r="C27" i="67"/>
  <c r="F71" i="67"/>
  <c r="Q71" i="67"/>
  <c r="F64" i="67"/>
  <c r="F50" i="67"/>
  <c r="M7" i="67"/>
  <c r="J6" i="67" s="1"/>
  <c r="J18" i="67" s="1"/>
  <c r="F31" i="67"/>
  <c r="C6" i="67"/>
  <c r="C32" i="67" s="1"/>
  <c r="F51" i="67"/>
  <c r="F65" i="67"/>
  <c r="L56" i="67"/>
  <c r="I54" i="67"/>
  <c r="J53" i="67"/>
  <c r="Q52" i="67" s="1"/>
  <c r="J57" i="67"/>
  <c r="J55" i="67" s="1"/>
  <c r="J58" i="67" s="1"/>
  <c r="Q50" i="67" s="1"/>
  <c r="F68" i="67"/>
  <c r="AZ206" i="3"/>
  <c r="AZ396" i="3"/>
  <c r="D75" i="71"/>
  <c r="C74" i="71"/>
  <c r="D74" i="71" s="1"/>
  <c r="F66" i="71"/>
  <c r="Q67" i="71"/>
  <c r="AZ38" i="3"/>
  <c r="C36" i="71"/>
  <c r="D35" i="71"/>
  <c r="O65" i="71"/>
  <c r="O66" i="71"/>
  <c r="D66" i="71"/>
  <c r="AA45" i="21"/>
  <c r="S45" i="21"/>
  <c r="AA46" i="21"/>
  <c r="S46" i="21"/>
  <c r="W12" i="35"/>
  <c r="AC12" i="35"/>
  <c r="AC9" i="34"/>
  <c r="W9" i="34"/>
  <c r="AA32" i="34"/>
  <c r="S32" i="34"/>
  <c r="AC28" i="33"/>
  <c r="W28" i="33"/>
  <c r="AB38" i="40"/>
  <c r="U38" i="40"/>
  <c r="U45" i="33"/>
  <c r="AB45" i="33"/>
  <c r="J7" i="37"/>
  <c r="AC7" i="37" s="1"/>
  <c r="C48" i="69"/>
  <c r="AZ76" i="3"/>
  <c r="G5" i="3"/>
  <c r="B3" i="3" s="1"/>
  <c r="E390" i="3" s="1"/>
  <c r="AZ281" i="3"/>
  <c r="AZ253" i="3"/>
  <c r="D71" i="71"/>
  <c r="C70" i="71"/>
  <c r="D70" i="71" s="1"/>
  <c r="AZ182" i="3"/>
  <c r="AZ282" i="3"/>
  <c r="AZ150" i="3"/>
  <c r="AZ223" i="3"/>
  <c r="AZ453" i="3"/>
  <c r="D38" i="71"/>
  <c r="C39" i="71"/>
  <c r="AZ271" i="3"/>
  <c r="AZ210" i="3"/>
  <c r="S34" i="36"/>
  <c r="AA34" i="36"/>
  <c r="AA44" i="39"/>
  <c r="S44" i="39"/>
  <c r="W45" i="21"/>
  <c r="AC45" i="21"/>
  <c r="U28" i="33"/>
  <c r="AB28" i="33"/>
  <c r="AB9" i="34"/>
  <c r="U9" i="34"/>
  <c r="AA14" i="34"/>
  <c r="S14" i="34"/>
  <c r="C32" i="71"/>
  <c r="D31" i="71"/>
  <c r="AC9" i="36"/>
  <c r="W9" i="36"/>
  <c r="U23" i="35"/>
  <c r="AB23" i="35"/>
  <c r="AB14" i="34"/>
  <c r="U14" i="34"/>
  <c r="AB24" i="36"/>
  <c r="U24" i="36"/>
  <c r="AC38" i="40"/>
  <c r="W38" i="40"/>
  <c r="W32" i="34"/>
  <c r="AC32" i="34"/>
  <c r="D20" i="53"/>
  <c r="B40" i="72" s="1"/>
  <c r="C48" i="68"/>
  <c r="AZ85" i="3"/>
  <c r="AZ202" i="3"/>
  <c r="AZ174" i="3"/>
  <c r="AZ299" i="3"/>
  <c r="AZ117" i="3"/>
  <c r="AZ287" i="3"/>
  <c r="AZ264" i="3"/>
  <c r="AZ209" i="3"/>
  <c r="AZ234" i="3"/>
  <c r="C82" i="71"/>
  <c r="D82" i="71" s="1"/>
  <c r="D83" i="71"/>
  <c r="C78" i="71"/>
  <c r="D78" i="71" s="1"/>
  <c r="D79" i="71"/>
  <c r="AZ84" i="3"/>
  <c r="D28" i="71"/>
  <c r="U28" i="71" s="1"/>
  <c r="C27" i="71"/>
  <c r="T28" i="71"/>
  <c r="AZ82" i="3"/>
  <c r="AZ61" i="3"/>
  <c r="N67" i="71"/>
  <c r="B66" i="71"/>
  <c r="AZ277" i="3"/>
  <c r="AZ256" i="3"/>
  <c r="AZ39" i="3"/>
  <c r="AZ118" i="3"/>
  <c r="C56" i="71"/>
  <c r="D55" i="71"/>
  <c r="AZ21" i="3"/>
  <c r="AZ275" i="3"/>
  <c r="AZ263" i="3"/>
  <c r="AZ229" i="3"/>
  <c r="AZ429" i="3"/>
  <c r="AZ397" i="3"/>
  <c r="AZ294" i="3"/>
  <c r="AZ273" i="3"/>
  <c r="AC23" i="35"/>
  <c r="W23" i="35"/>
  <c r="S28" i="33"/>
  <c r="AA28" i="33"/>
  <c r="AC24" i="36"/>
  <c r="W24" i="36"/>
  <c r="AA38" i="40"/>
  <c r="S38" i="40"/>
  <c r="S29" i="33"/>
  <c r="AA29" i="33"/>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56" i="40"/>
  <c r="C47" i="69"/>
  <c r="D45" i="69" s="1"/>
  <c r="C9" i="68"/>
  <c r="E72" i="43"/>
  <c r="B70" i="43" s="1"/>
  <c r="C29" i="69"/>
  <c r="D27" i="69" s="1"/>
  <c r="F45" i="69"/>
  <c r="F27" i="11"/>
  <c r="F28" i="12"/>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AE11" i="1"/>
  <c r="AE6" i="1"/>
  <c r="F27" i="68"/>
  <c r="AE7" i="1"/>
  <c r="AE8" i="1"/>
  <c r="AE12" i="1"/>
  <c r="F37" i="83"/>
  <c r="M9" i="83"/>
  <c r="F38" i="83"/>
  <c r="G1" i="73"/>
  <c r="F43" i="83"/>
  <c r="M22" i="83"/>
  <c r="M29" i="83"/>
  <c r="F26" i="83"/>
  <c r="F41" i="67"/>
  <c r="L48" i="83"/>
  <c r="F40" i="83"/>
  <c r="M28" i="83"/>
  <c r="F16" i="83"/>
  <c r="J15" i="83"/>
  <c r="F8" i="83"/>
  <c r="F13" i="83"/>
  <c r="F7" i="83"/>
  <c r="L47" i="83"/>
  <c r="M26" i="83"/>
  <c r="M8" i="83"/>
  <c r="F9" i="83"/>
  <c r="F42" i="83"/>
  <c r="M24" i="83"/>
  <c r="F36" i="83"/>
  <c r="C16" i="67"/>
  <c r="F6" i="83"/>
  <c r="M6" i="83"/>
  <c r="M23" i="83"/>
  <c r="C76" i="83"/>
  <c r="Q60" i="15" l="1"/>
  <c r="F67" i="39"/>
  <c r="C27" i="83"/>
  <c r="F51" i="83"/>
  <c r="L60" i="83"/>
  <c r="L57" i="83"/>
  <c r="L56" i="83"/>
  <c r="J59" i="83"/>
  <c r="J57" i="83"/>
  <c r="J55" i="83" s="1"/>
  <c r="J58" i="83" s="1"/>
  <c r="Q50" i="83" s="1"/>
  <c r="I54" i="83"/>
  <c r="J60" i="83"/>
  <c r="Q48" i="83" s="1"/>
  <c r="F64" i="83"/>
  <c r="L58" i="83"/>
  <c r="N59" i="83"/>
  <c r="Q71" i="83"/>
  <c r="F71" i="83"/>
  <c r="F65" i="83"/>
  <c r="C6" i="83"/>
  <c r="M7" i="83"/>
  <c r="J6" i="83" s="1"/>
  <c r="F50" i="83"/>
  <c r="F68" i="83"/>
  <c r="F66" i="83"/>
  <c r="F10" i="39"/>
  <c r="H10" i="39"/>
  <c r="U10" i="39" s="1"/>
  <c r="F10" i="40"/>
  <c r="S10" i="40" s="1"/>
  <c r="J10" i="40"/>
  <c r="AC10" i="40" s="1"/>
  <c r="J10" i="39"/>
  <c r="W10" i="39" s="1"/>
  <c r="H10" i="40"/>
  <c r="AB10" i="40" s="1"/>
  <c r="AZ5" i="3"/>
  <c r="C49" i="67"/>
  <c r="C53" i="83"/>
  <c r="C10" i="83"/>
  <c r="F1" i="67"/>
  <c r="Q73" i="67"/>
  <c r="AI6" i="3"/>
  <c r="E189" i="3"/>
  <c r="E296" i="3"/>
  <c r="E572" i="3"/>
  <c r="E62" i="39"/>
  <c r="E240" i="3"/>
  <c r="E431" i="3"/>
  <c r="E485" i="3"/>
  <c r="E214" i="3"/>
  <c r="E406" i="3"/>
  <c r="E347" i="3"/>
  <c r="E361" i="3"/>
  <c r="E538" i="3"/>
  <c r="E343" i="3"/>
  <c r="E447" i="3"/>
  <c r="E107" i="3"/>
  <c r="E433" i="3"/>
  <c r="E99" i="3"/>
  <c r="E518" i="3"/>
  <c r="E130" i="3"/>
  <c r="E396" i="3"/>
  <c r="E480" i="3"/>
  <c r="E443" i="3"/>
  <c r="E394" i="3"/>
  <c r="E344" i="3"/>
  <c r="E156" i="3"/>
  <c r="E17" i="3"/>
  <c r="E418" i="3"/>
  <c r="E153" i="3"/>
  <c r="E71" i="3"/>
  <c r="E379" i="3"/>
  <c r="E475" i="3"/>
  <c r="E157" i="3"/>
  <c r="E98" i="3"/>
  <c r="Y6" i="3"/>
  <c r="E266" i="3"/>
  <c r="E19" i="3"/>
  <c r="E421" i="3"/>
  <c r="E348" i="3"/>
  <c r="E101" i="3"/>
  <c r="E147" i="3"/>
  <c r="E455" i="3"/>
  <c r="E40" i="3"/>
  <c r="E493" i="3"/>
  <c r="E78" i="3"/>
  <c r="T6" i="3"/>
  <c r="E129" i="3"/>
  <c r="E160" i="3"/>
  <c r="E539" i="3"/>
  <c r="E132" i="3"/>
  <c r="E387" i="3"/>
  <c r="E182" i="3"/>
  <c r="E327" i="3"/>
  <c r="E133" i="3"/>
  <c r="E495" i="3"/>
  <c r="E270" i="3"/>
  <c r="E476" i="3"/>
  <c r="E562" i="3"/>
  <c r="E61" i="3"/>
  <c r="E536" i="3"/>
  <c r="E286" i="3"/>
  <c r="E258" i="3"/>
  <c r="E371" i="3"/>
  <c r="E494" i="3"/>
  <c r="E522" i="3"/>
  <c r="E308" i="3"/>
  <c r="E469" i="3"/>
  <c r="E104" i="3"/>
  <c r="E190" i="3"/>
  <c r="E83"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118" i="3"/>
  <c r="E430" i="3"/>
  <c r="E349" i="3"/>
  <c r="E84" i="3"/>
  <c r="E75" i="3"/>
  <c r="E86" i="3"/>
  <c r="E140" i="3"/>
  <c r="E360" i="3"/>
  <c r="E41" i="3"/>
  <c r="E342" i="3"/>
  <c r="E223" i="3"/>
  <c r="E486" i="3"/>
  <c r="E498" i="3"/>
  <c r="E202" i="3"/>
  <c r="E43" i="3"/>
  <c r="E137" i="3"/>
  <c r="E52" i="3"/>
  <c r="E135" i="3"/>
  <c r="E579" i="3"/>
  <c r="E171" i="3"/>
  <c r="E183" i="3"/>
  <c r="E441" i="3"/>
  <c r="E567" i="3"/>
  <c r="E511" i="3"/>
  <c r="E320" i="3"/>
  <c r="E569" i="3"/>
  <c r="E295" i="3"/>
  <c r="AG6" i="3"/>
  <c r="E274" i="3"/>
  <c r="Q6" i="3"/>
  <c r="E353" i="3"/>
  <c r="E213" i="3"/>
  <c r="E53" i="3"/>
  <c r="E546" i="3"/>
  <c r="E397" i="3"/>
  <c r="W6" i="3"/>
  <c r="E306" i="3"/>
  <c r="E167" i="3"/>
  <c r="E462" i="3"/>
  <c r="E47" i="3"/>
  <c r="E209" i="3"/>
  <c r="E222" i="3"/>
  <c r="E155" i="3"/>
  <c r="E218" i="3"/>
  <c r="E36" i="3"/>
  <c r="E540" i="3"/>
  <c r="E419" i="3"/>
  <c r="E116" i="3"/>
  <c r="E243" i="3"/>
  <c r="E534" i="3"/>
  <c r="E482" i="3"/>
  <c r="E59" i="3"/>
  <c r="D26" i="43"/>
  <c r="C25" i="43" s="1"/>
  <c r="C33" i="43" s="1"/>
  <c r="E60" i="40"/>
  <c r="E100" i="3"/>
  <c r="E445" i="3"/>
  <c r="AB6" i="3"/>
  <c r="E268" i="3"/>
  <c r="E489" i="3"/>
  <c r="E204" i="3"/>
  <c r="E468" i="3"/>
  <c r="AK6" i="3"/>
  <c r="E586" i="3"/>
  <c r="E216" i="3"/>
  <c r="E410" i="3"/>
  <c r="E44" i="3"/>
  <c r="E414" i="3"/>
  <c r="E351" i="3"/>
  <c r="E457" i="3"/>
  <c r="E253" i="3"/>
  <c r="E550" i="3"/>
  <c r="E407" i="3"/>
  <c r="E282" i="3"/>
  <c r="E88" i="3"/>
  <c r="E576" i="3"/>
  <c r="E55" i="3"/>
  <c r="E120" i="3"/>
  <c r="AN6" i="3"/>
  <c r="E169" i="3"/>
  <c r="E359" i="3"/>
  <c r="E29" i="3"/>
  <c r="E432" i="3"/>
  <c r="E357" i="3"/>
  <c r="E288" i="3"/>
  <c r="E122" i="3"/>
  <c r="E195" i="3"/>
  <c r="E259" i="3"/>
  <c r="E582" i="3"/>
  <c r="E110" i="3"/>
  <c r="E51" i="3"/>
  <c r="E398" i="3"/>
  <c r="E20" i="3"/>
  <c r="E339" i="3"/>
  <c r="E333" i="3"/>
  <c r="E490" i="3"/>
  <c r="E80" i="3"/>
  <c r="E452" i="3"/>
  <c r="E287" i="3"/>
  <c r="E283" i="3"/>
  <c r="E491" i="3"/>
  <c r="E142" i="3"/>
  <c r="E487" i="3"/>
  <c r="E483" i="3"/>
  <c r="E385" i="3"/>
  <c r="E172" i="3"/>
  <c r="E311" i="3"/>
  <c r="E109" i="3"/>
  <c r="E531" i="3"/>
  <c r="E74" i="3"/>
  <c r="E465" i="3"/>
  <c r="E545" i="3"/>
  <c r="E91" i="3"/>
  <c r="E439" i="3"/>
  <c r="E555" i="3"/>
  <c r="E186" i="3"/>
  <c r="E585" i="3"/>
  <c r="E279" i="3"/>
  <c r="E519" i="3"/>
  <c r="E293" i="3"/>
  <c r="E260" i="3"/>
  <c r="E358" i="3"/>
  <c r="E125" i="3"/>
  <c r="E404" i="3"/>
  <c r="I6" i="3"/>
  <c r="AE6" i="3"/>
  <c r="E262" i="3"/>
  <c r="E254" i="3"/>
  <c r="E338" i="3"/>
  <c r="E574" i="3"/>
  <c r="E272" i="3"/>
  <c r="U6" i="3"/>
  <c r="E257" i="3"/>
  <c r="E532" i="3"/>
  <c r="E307" i="3"/>
  <c r="E488" i="3"/>
  <c r="E373" i="3"/>
  <c r="E323" i="3"/>
  <c r="E57" i="3"/>
  <c r="E65" i="3"/>
  <c r="E165" i="3"/>
  <c r="E50" i="3"/>
  <c r="E194" i="3"/>
  <c r="E226" i="3"/>
  <c r="E507" i="3"/>
  <c r="E370" i="3"/>
  <c r="E556" i="3"/>
  <c r="E251" i="3"/>
  <c r="E68" i="3"/>
  <c r="AP6" i="3"/>
  <c r="E56" i="39"/>
  <c r="E16" i="6"/>
  <c r="E329" i="3"/>
  <c r="E35" i="3"/>
  <c r="E356" i="3"/>
  <c r="E470" i="3"/>
  <c r="E512" i="3"/>
  <c r="E197" i="3"/>
  <c r="AF6" i="3"/>
  <c r="E174" i="3"/>
  <c r="E391" i="3"/>
  <c r="E184" i="3"/>
  <c r="E467" i="3"/>
  <c r="E37" i="3"/>
  <c r="E502" i="3"/>
  <c r="J5" i="67"/>
  <c r="J24" i="67" s="1"/>
  <c r="E51" i="40"/>
  <c r="E61" i="39"/>
  <c r="E63" i="39"/>
  <c r="E59" i="40"/>
  <c r="Q74" i="67"/>
  <c r="AY6" i="3"/>
  <c r="E3" i="6"/>
  <c r="D14" i="12" s="1"/>
  <c r="W7" i="37"/>
  <c r="E378" i="3"/>
  <c r="E248" i="3"/>
  <c r="E131" i="3"/>
  <c r="E242" i="3"/>
  <c r="X6" i="3"/>
  <c r="E563" i="3"/>
  <c r="E201" i="3"/>
  <c r="E526" i="3"/>
  <c r="E70" i="3"/>
  <c r="AO6" i="3"/>
  <c r="E362" i="3"/>
  <c r="E577" i="3"/>
  <c r="E277" i="3"/>
  <c r="E350" i="3"/>
  <c r="E528" i="3"/>
  <c r="E561" i="3"/>
  <c r="E530" i="3"/>
  <c r="E162" i="3"/>
  <c r="E478" i="3"/>
  <c r="E31" i="3"/>
  <c r="E150" i="3"/>
  <c r="E450" i="3"/>
  <c r="E527" i="3"/>
  <c r="E193" i="3"/>
  <c r="E314" i="3"/>
  <c r="E583" i="3"/>
  <c r="E578" i="3"/>
  <c r="E290" i="3"/>
  <c r="E395" i="3"/>
  <c r="E230" i="3"/>
  <c r="V6" i="3"/>
  <c r="E151" i="3"/>
  <c r="E516" i="3"/>
  <c r="E553"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C40" i="71"/>
  <c r="D39" i="71"/>
  <c r="E332" i="3"/>
  <c r="E21" i="3"/>
  <c r="E264" i="3"/>
  <c r="E381" i="3"/>
  <c r="E144" i="3"/>
  <c r="E23" i="3"/>
  <c r="E300" i="3"/>
  <c r="E103" i="3"/>
  <c r="E425" i="3"/>
  <c r="E76" i="3"/>
  <c r="E363" i="3"/>
  <c r="E192" i="3"/>
  <c r="E56" i="3"/>
  <c r="E435" i="3"/>
  <c r="I3" i="6"/>
  <c r="E541" i="3"/>
  <c r="R6" i="3"/>
  <c r="E199" i="3"/>
  <c r="E510" i="3"/>
  <c r="D36" i="71"/>
  <c r="T36" i="71"/>
  <c r="E119" i="3"/>
  <c r="E423" i="3"/>
  <c r="E161" i="3"/>
  <c r="E215" i="3"/>
  <c r="M6" i="3"/>
  <c r="E509" i="3"/>
  <c r="E377" i="3"/>
  <c r="E557" i="3"/>
  <c r="E89" i="3"/>
  <c r="E146" i="3"/>
  <c r="E472" i="3"/>
  <c r="E181" i="3"/>
  <c r="E399" i="3"/>
  <c r="E180" i="3"/>
  <c r="E231" i="3"/>
  <c r="E143" i="3"/>
  <c r="E388" i="3"/>
  <c r="E384" i="3"/>
  <c r="AS6" i="3"/>
  <c r="E271" i="3"/>
  <c r="E30"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N65" i="71"/>
  <c r="N66" i="71"/>
  <c r="T32" i="71"/>
  <c r="D32" i="71"/>
  <c r="C26" i="71"/>
  <c r="D26" i="71" s="1"/>
  <c r="D27" i="71"/>
  <c r="Q66" i="71"/>
  <c r="Q65"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335" i="3"/>
  <c r="AY26" i="3"/>
  <c r="AY544" i="3"/>
  <c r="AY170" i="3"/>
  <c r="AY397" i="3"/>
  <c r="AY259" i="3"/>
  <c r="AY462" i="3"/>
  <c r="BF6" i="3"/>
  <c r="AY90" i="3"/>
  <c r="AY269" i="3"/>
  <c r="AY574" i="3"/>
  <c r="AY146" i="3"/>
  <c r="AY365" i="3"/>
  <c r="AY243" i="3"/>
  <c r="AY435" i="3"/>
  <c r="AY496" i="3"/>
  <c r="AY292" i="3"/>
  <c r="AY212" i="3"/>
  <c r="AY105" i="3"/>
  <c r="AY141" i="3"/>
  <c r="AY507" i="3"/>
  <c r="AY370" i="3"/>
  <c r="AY503" i="3"/>
  <c r="AY519" i="3"/>
  <c r="AY137" i="3"/>
  <c r="AY364" i="3"/>
  <c r="AY453" i="3"/>
  <c r="AY14" i="3"/>
  <c r="AY570" i="3"/>
  <c r="AY46" i="3"/>
  <c r="AY285" i="3"/>
  <c r="AY362" i="3"/>
  <c r="AY437" i="3"/>
  <c r="AY91" i="3"/>
  <c r="AY148" i="3"/>
  <c r="AY224" i="3"/>
  <c r="AY490" i="3"/>
  <c r="AY511" i="3"/>
  <c r="AY298" i="3"/>
  <c r="AY492" i="3"/>
  <c r="AY575" i="3"/>
  <c r="AY203" i="3"/>
  <c r="AY347" i="3"/>
  <c r="AY13" i="3"/>
  <c r="AY195" i="3"/>
  <c r="AY208" i="3"/>
  <c r="AY432" i="3"/>
  <c r="AY21" i="3"/>
  <c r="AY250" i="3"/>
  <c r="AY320" i="3"/>
  <c r="AY415" i="3"/>
  <c r="AY515" i="3"/>
  <c r="AY493" i="3"/>
  <c r="AY172" i="3"/>
  <c r="AY248" i="3"/>
  <c r="AY485" i="3"/>
  <c r="AY547" i="3"/>
  <c r="AY54" i="3"/>
  <c r="AY293" i="3"/>
  <c r="AY351" i="3"/>
  <c r="AY40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C16" i="83"/>
  <c r="M27" i="15"/>
  <c r="M27" i="83"/>
  <c r="C48" i="67" l="1"/>
  <c r="C5" i="83"/>
  <c r="L46" i="83"/>
  <c r="Q57" i="83"/>
  <c r="Q66" i="83"/>
  <c r="Q60" i="83"/>
  <c r="Q73" i="83"/>
  <c r="C49" i="83"/>
  <c r="C61" i="83" s="1"/>
  <c r="S10" i="39"/>
  <c r="AA10" i="39"/>
  <c r="J19" i="83"/>
  <c r="J18" i="83"/>
  <c r="J5" i="83"/>
  <c r="C32" i="83"/>
  <c r="C33" i="83"/>
  <c r="L36" i="43"/>
  <c r="L37" i="43" s="1"/>
  <c r="O37" i="43" s="1"/>
  <c r="F24" i="83"/>
  <c r="C38" i="83"/>
  <c r="AY87" i="3"/>
  <c r="AY51" i="3"/>
  <c r="AY124" i="3"/>
  <c r="AY281" i="3"/>
  <c r="AY236" i="3"/>
  <c r="AY67" i="3"/>
  <c r="AY123"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207" i="3"/>
  <c r="AY42" i="3"/>
  <c r="AY168" i="3"/>
  <c r="AY366" i="3"/>
  <c r="AY139" i="3"/>
  <c r="AY252" i="3"/>
  <c r="AY460" i="3"/>
  <c r="AY106" i="3"/>
  <c r="AY260" i="3"/>
  <c r="AY327" i="3"/>
  <c r="AY452" i="3"/>
  <c r="AY549" i="3"/>
  <c r="BE6" i="3"/>
  <c r="AY77" i="3"/>
  <c r="AY44" i="3"/>
  <c r="AY185" i="3"/>
  <c r="AY149" i="3"/>
  <c r="AY283" i="3"/>
  <c r="AY262" i="3"/>
  <c r="AY392" i="3"/>
  <c r="AY360" i="3"/>
  <c r="AY73" i="3"/>
  <c r="AY197" i="3"/>
  <c r="AY295" i="3"/>
  <c r="AY388" i="3"/>
  <c r="AY317" i="3"/>
  <c r="AY66" i="3"/>
  <c r="AY276" i="3"/>
  <c r="AY50" i="3"/>
  <c r="AY473" i="3"/>
  <c r="AY245" i="3"/>
  <c r="AY463" i="3"/>
  <c r="AY533" i="3"/>
  <c r="AY60" i="3"/>
  <c r="AY165" i="3"/>
  <c r="AY247" i="3"/>
  <c r="AY357" i="3"/>
  <c r="AY202" i="3"/>
  <c r="AY242" i="3"/>
  <c r="AY491" i="3"/>
  <c r="AY430" i="3"/>
  <c r="BQ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84" i="3"/>
  <c r="AY101" i="3"/>
  <c r="AY194" i="3"/>
  <c r="AY129" i="3"/>
  <c r="AY234" i="3"/>
  <c r="AY329" i="3"/>
  <c r="AY487" i="3"/>
  <c r="AY458" i="3"/>
  <c r="AY407"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115" i="3"/>
  <c r="AY225" i="3"/>
  <c r="AY261" i="3"/>
  <c r="AY529" i="3"/>
  <c r="AY372" i="3"/>
  <c r="AY513" i="3"/>
  <c r="AY92" i="3"/>
  <c r="AY190" i="3"/>
  <c r="AY299" i="3"/>
  <c r="AY219" i="3"/>
  <c r="AY109" i="3"/>
  <c r="AY114" i="3"/>
  <c r="AY333" i="3"/>
  <c r="AY472" i="3"/>
  <c r="AY41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582" i="3"/>
  <c r="AY80" i="3"/>
  <c r="AY158" i="3"/>
  <c r="AY251" i="3"/>
  <c r="AY369" i="3"/>
  <c r="AY344" i="3"/>
  <c r="AY468" i="3"/>
  <c r="AY410" i="3"/>
  <c r="AY506"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BT6" i="3"/>
  <c r="AY443" i="3"/>
  <c r="AY386" i="3"/>
  <c r="AY143" i="3"/>
  <c r="AY71" i="3"/>
  <c r="AY500" i="3"/>
  <c r="AY315" i="3"/>
  <c r="AY265" i="3"/>
  <c r="AY19" i="3"/>
  <c r="BP6" i="3"/>
  <c r="AY522" i="3"/>
  <c r="AY434" i="3"/>
  <c r="AY305" i="3"/>
  <c r="AY267" i="3"/>
  <c r="AY567" i="3"/>
  <c r="AY474" i="3"/>
  <c r="AY272" i="3"/>
  <c r="AY39" i="3"/>
  <c r="AY421" i="3"/>
  <c r="AY383" i="3"/>
  <c r="AY47" i="3"/>
  <c r="AY17" i="3"/>
  <c r="AY336" i="3"/>
  <c r="AY142" i="3"/>
  <c r="BD6" i="3"/>
  <c r="AY338" i="3"/>
  <c r="AY241" i="3"/>
  <c r="AY184" i="3"/>
  <c r="BL6" i="3"/>
  <c r="AY456" i="3"/>
  <c r="AY378" i="3"/>
  <c r="AY135" i="3"/>
  <c r="AY63" i="3"/>
  <c r="AY542" i="3"/>
  <c r="AY579" i="3"/>
  <c r="AY471" i="3"/>
  <c r="AY380" i="3"/>
  <c r="AY189" i="3"/>
  <c r="AY494" i="3"/>
  <c r="AY406" i="3"/>
  <c r="AY275" i="3"/>
  <c r="AY384" i="3"/>
  <c r="AY162" i="3"/>
  <c r="AY573" i="3"/>
  <c r="AY43" i="3"/>
  <c r="AY132" i="3"/>
  <c r="AY508" i="3"/>
  <c r="AY464" i="3"/>
  <c r="AY130" i="3"/>
  <c r="AY222" i="3"/>
  <c r="AY25" i="3"/>
  <c r="AY535" i="3"/>
  <c r="AY425" i="3"/>
  <c r="AY98" i="3"/>
  <c r="AY561" i="3"/>
  <c r="AY475" i="3"/>
  <c r="AY166" i="3"/>
  <c r="AY246" i="3"/>
  <c r="AY33" i="3"/>
  <c r="AY420" i="3"/>
  <c r="AY428" i="3"/>
  <c r="AY297" i="3"/>
  <c r="AY445" i="3"/>
  <c r="AY566" i="3"/>
  <c r="AY477" i="3"/>
  <c r="AY240" i="3"/>
  <c r="AY164" i="3"/>
  <c r="AY107" i="3"/>
  <c r="AY408" i="3"/>
  <c r="AY359" i="3"/>
  <c r="AY301" i="3"/>
  <c r="AY62" i="3"/>
  <c r="AY545" i="3"/>
  <c r="AY538" i="3"/>
  <c r="AY337" i="3"/>
  <c r="AY153" i="3"/>
  <c r="AY583" i="3"/>
  <c r="AY322" i="3"/>
  <c r="AY136" i="3"/>
  <c r="AY102" i="3"/>
  <c r="AY440" i="3"/>
  <c r="AY233" i="3"/>
  <c r="AY563" i="3"/>
  <c r="AY431" i="3"/>
  <c r="AY352" i="3"/>
  <c r="AY32" i="3"/>
  <c r="AY429" i="3"/>
  <c r="AY354" i="3"/>
  <c r="AY277" i="3"/>
  <c r="AY38" i="3"/>
  <c r="AY560" i="3"/>
  <c r="AY469" i="3"/>
  <c r="AY232" i="3"/>
  <c r="AY156" i="3"/>
  <c r="AY99" i="3"/>
  <c r="AY565" i="3"/>
  <c r="AY439" i="3"/>
  <c r="AY312" i="3"/>
  <c r="AY266" i="3"/>
  <c r="AY48" i="3"/>
  <c r="AY543" i="3"/>
  <c r="AY480" i="3"/>
  <c r="AY181" i="3"/>
  <c r="AY238" i="3"/>
  <c r="AY20" i="3"/>
  <c r="AY436" i="3"/>
  <c r="AY412" i="3"/>
  <c r="AY49" i="3"/>
  <c r="AY527" i="3"/>
  <c r="AY308" i="3"/>
  <c r="AY40" i="3"/>
  <c r="AY271" i="3"/>
  <c r="AY68" i="3"/>
  <c r="AY481" i="3"/>
  <c r="AY334" i="3"/>
  <c r="AY16" i="3"/>
  <c r="AY581" i="3"/>
  <c r="AY348" i="3"/>
  <c r="AY41" i="3"/>
  <c r="AY278" i="3"/>
  <c r="AY61" i="3"/>
  <c r="AY342" i="3"/>
  <c r="AY209" i="3"/>
  <c r="AY188" i="3"/>
  <c r="AY521" i="3"/>
  <c r="AY307" i="3"/>
  <c r="AY257" i="3"/>
  <c r="AY200" i="3"/>
  <c r="AY568" i="3"/>
  <c r="AY451" i="3"/>
  <c r="AY394" i="3"/>
  <c r="AY151" i="3"/>
  <c r="AY79" i="3"/>
  <c r="AY551" i="3"/>
  <c r="AY505" i="3"/>
  <c r="AY476" i="3"/>
  <c r="AY396" i="3"/>
  <c r="AY174" i="3"/>
  <c r="AY15" i="3"/>
  <c r="AY375" i="3"/>
  <c r="AY175" i="3"/>
  <c r="AY576" i="3"/>
  <c r="AY330" i="3"/>
  <c r="AY120" i="3"/>
  <c r="AY530" i="3"/>
  <c r="AY450" i="3"/>
  <c r="AY218" i="3"/>
  <c r="AY586" i="3"/>
  <c r="AY448" i="3"/>
  <c r="AY391" i="3"/>
  <c r="AY128" i="3"/>
  <c r="AY55" i="3"/>
  <c r="AY558" i="3"/>
  <c r="AY346" i="3"/>
  <c r="AY249" i="3"/>
  <c r="AY192" i="3"/>
  <c r="AY578" i="3"/>
  <c r="AY524" i="3"/>
  <c r="AY426" i="3"/>
  <c r="AY313" i="3"/>
  <c r="AY287" i="3"/>
  <c r="AY65" i="3"/>
  <c r="AY536" i="3"/>
  <c r="AY309" i="3"/>
  <c r="AY72" i="3"/>
  <c r="AY286" i="3"/>
  <c r="AY69" i="3"/>
  <c r="AY326" i="3"/>
  <c r="AY350" i="3"/>
  <c r="AY523" i="3"/>
  <c r="AY516" i="3"/>
  <c r="AY356" i="3"/>
  <c r="BI6" i="3"/>
  <c r="AY117" i="3"/>
  <c r="AY89" i="3"/>
  <c r="AY390" i="3"/>
  <c r="AY237" i="3"/>
  <c r="AY495" i="3"/>
  <c r="AY414" i="3"/>
  <c r="AY377" i="3"/>
  <c r="BH6" i="3"/>
  <c r="AY133" i="3"/>
  <c r="AY553" i="3"/>
  <c r="AY217" i="3"/>
  <c r="AY289" i="3"/>
  <c r="AY176" i="3"/>
  <c r="E65" i="39"/>
  <c r="D3" i="37"/>
  <c r="D19" i="11"/>
  <c r="C19" i="11" s="1"/>
  <c r="AY319" i="3"/>
  <c r="AY284" i="3"/>
  <c r="AY183" i="3"/>
  <c r="AY160" i="3"/>
  <c r="AY103" i="3"/>
  <c r="AY371" i="3"/>
  <c r="AY268" i="3"/>
  <c r="AY58" i="3"/>
  <c r="AY131" i="3"/>
  <c r="AY59" i="3"/>
  <c r="AY155" i="3"/>
  <c r="AY23" i="3"/>
  <c r="AY83" i="3"/>
  <c r="D37" i="11"/>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H6" i="3"/>
  <c r="D3" i="34"/>
  <c r="D3" i="33"/>
  <c r="E6" i="6"/>
  <c r="D10" i="68" s="1"/>
  <c r="C17" i="4"/>
  <c r="B4" i="52" s="1"/>
  <c r="B43" i="72" s="1"/>
  <c r="M18" i="9"/>
  <c r="B118" i="9" s="1"/>
  <c r="D3" i="21"/>
  <c r="L18" i="9"/>
  <c r="AC6" i="3"/>
  <c r="E6" i="3" s="1"/>
  <c r="F22" i="11"/>
  <c r="F24" i="67"/>
  <c r="C24" i="67" s="1"/>
  <c r="T40" i="71"/>
  <c r="D40" i="71"/>
  <c r="G54" i="34"/>
  <c r="H54" i="34" s="1"/>
  <c r="F24" i="15"/>
  <c r="C24" i="15" s="1"/>
  <c r="F22" i="69"/>
  <c r="F41" i="69" s="1"/>
  <c r="F22" i="68"/>
  <c r="F41" i="68" s="1"/>
  <c r="F25" i="12"/>
  <c r="D116" i="43"/>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C17" i="83"/>
  <c r="M37" i="43" l="1"/>
  <c r="Q36" i="43"/>
  <c r="C48" i="83"/>
  <c r="O36" i="43"/>
  <c r="Q37" i="43"/>
  <c r="P36" i="43"/>
  <c r="B14" i="74"/>
  <c r="B1" i="74" s="1"/>
  <c r="J24" i="83"/>
  <c r="J26" i="83"/>
  <c r="C14" i="74"/>
  <c r="B2" i="74" s="1"/>
  <c r="N37" i="43"/>
  <c r="P37" i="43"/>
  <c r="M36" i="43"/>
  <c r="N36" i="43"/>
  <c r="C24" i="83"/>
  <c r="C28" i="11"/>
  <c r="C27" i="11" s="1"/>
  <c r="B23" i="1"/>
  <c r="B24" i="1"/>
  <c r="C29" i="68"/>
  <c r="D27" i="68" s="1"/>
  <c r="C29" i="11"/>
  <c r="D27" i="11" s="1"/>
  <c r="C24" i="11"/>
  <c r="C44" i="11"/>
  <c r="D41" i="11" s="1"/>
  <c r="C26" i="12"/>
  <c r="D25" i="12" s="1"/>
  <c r="H22" i="6"/>
  <c r="D10" i="69"/>
  <c r="D19" i="69" s="1"/>
  <c r="C44" i="69"/>
  <c r="D41" i="69" s="1"/>
  <c r="C26" i="69"/>
  <c r="D22" i="69" s="1"/>
  <c r="H21" i="6"/>
  <c r="R21" i="6" s="1"/>
  <c r="R8" i="1" s="1"/>
  <c r="C26" i="68"/>
  <c r="D22" i="68" s="1"/>
  <c r="C44" i="68"/>
  <c r="D41" i="68" s="1"/>
  <c r="H24" i="6"/>
  <c r="R24" i="6" s="1"/>
  <c r="R11" i="1" s="1"/>
  <c r="H25" i="6"/>
  <c r="R25" i="6" s="1"/>
  <c r="R12" i="1" s="1"/>
  <c r="C25" i="11"/>
  <c r="C16" i="71"/>
  <c r="D17" i="71"/>
  <c r="C18" i="67"/>
  <c r="C15" i="67"/>
  <c r="H23" i="6"/>
  <c r="R23" i="6" s="1"/>
  <c r="R10" i="1" s="1"/>
  <c r="C30" i="43"/>
  <c r="B2" i="43" s="1"/>
  <c r="B3" i="43" s="1"/>
  <c r="C31" i="43"/>
  <c r="H20" i="6"/>
  <c r="R20" i="6" s="1"/>
  <c r="R7" i="1" s="1"/>
  <c r="C38" i="69"/>
  <c r="C35" i="69"/>
  <c r="E12" i="70"/>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F50" i="69"/>
  <c r="F50" i="11"/>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3"/>
  <c r="B6" i="76"/>
  <c r="C14" i="83"/>
  <c r="E6" i="76"/>
  <c r="C14" i="15"/>
  <c r="F35" i="83"/>
  <c r="C10" i="69" l="1"/>
  <c r="C8" i="69" s="1"/>
  <c r="C5" i="69" s="1"/>
  <c r="C66" i="83"/>
  <c r="C60" i="83"/>
  <c r="C18" i="83"/>
  <c r="C15" i="83"/>
  <c r="J53" i="83"/>
  <c r="M59" i="83"/>
  <c r="L59" i="83" s="1"/>
  <c r="E2" i="70"/>
  <c r="D8" i="74"/>
  <c r="D7" i="74"/>
  <c r="J20" i="83"/>
  <c r="J17" i="83" s="1"/>
  <c r="C34" i="83"/>
  <c r="C31" i="83" s="1"/>
  <c r="F63" i="83"/>
  <c r="C62" i="83" s="1"/>
  <c r="F34" i="11"/>
  <c r="J53" i="15"/>
  <c r="B29" i="1"/>
  <c r="H9" i="68"/>
  <c r="F50" i="68"/>
  <c r="F34" i="68"/>
  <c r="M59" i="15"/>
  <c r="L59" i="15" s="1"/>
  <c r="M59" i="67"/>
  <c r="C29" i="12"/>
  <c r="D28" i="12" s="1"/>
  <c r="C26" i="11"/>
  <c r="D22" i="11" s="1"/>
  <c r="C23" i="11"/>
  <c r="C22" i="11" s="1"/>
  <c r="C15" i="71"/>
  <c r="T16" i="71"/>
  <c r="D16" i="71"/>
  <c r="U16"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3" l="1"/>
  <c r="C19" i="83"/>
  <c r="C20" i="83" s="1"/>
  <c r="C23" i="83" s="1"/>
  <c r="F1" i="83"/>
  <c r="Q52" i="83"/>
  <c r="Q61" i="83"/>
  <c r="Q74" i="83"/>
  <c r="L56" i="15"/>
  <c r="Q52" i="15"/>
  <c r="F1" i="15"/>
  <c r="Q74" i="15"/>
  <c r="Q61" i="15"/>
  <c r="C37" i="68"/>
  <c r="C31" i="11"/>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10" i="1"/>
  <c r="AE9" i="1"/>
  <c r="C26" i="83" l="1"/>
  <c r="C29" i="83" s="1"/>
  <c r="C38" i="68"/>
  <c r="C35" i="68"/>
  <c r="D14" i="71"/>
  <c r="C13"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41" i="15"/>
  <c r="F35" i="15"/>
  <c r="M21" i="15"/>
  <c r="M21" i="67"/>
  <c r="F35" i="67"/>
  <c r="F41" i="83"/>
  <c r="E48" i="21" l="1"/>
  <c r="C36" i="83"/>
  <c r="C57" i="83"/>
  <c r="C64" i="83" s="1"/>
  <c r="J14" i="83"/>
  <c r="Q49" i="83"/>
  <c r="C13" i="83"/>
  <c r="F69" i="83"/>
  <c r="J29" i="83"/>
  <c r="F69" i="15"/>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R24" i="31" s="1"/>
  <c r="C6" i="12" s="1"/>
  <c r="C8" i="12" s="1"/>
  <c r="E52" i="21"/>
  <c r="F52" i="21" s="1"/>
  <c r="E53" i="21"/>
  <c r="F53" i="21" s="1"/>
  <c r="G42" i="35"/>
  <c r="H42" i="35" s="1"/>
  <c r="G43" i="35"/>
  <c r="H43" i="35" s="1"/>
  <c r="I53" i="21"/>
  <c r="J53" i="21" s="1"/>
  <c r="K65" i="40"/>
  <c r="L63" i="40"/>
  <c r="I42" i="35"/>
  <c r="J42" i="35" s="1"/>
  <c r="J13" i="83" l="1"/>
  <c r="J23" i="83" s="1"/>
  <c r="J22" i="83"/>
  <c r="C37" i="83"/>
  <c r="C30" i="83" s="1"/>
  <c r="C39" i="83" s="1"/>
  <c r="C75" i="83"/>
  <c r="Q70" i="83"/>
  <c r="C56" i="83"/>
  <c r="C65" i="83" s="1"/>
  <c r="C58" i="83" s="1"/>
  <c r="C67" i="83" s="1"/>
  <c r="C68" i="83" s="1"/>
  <c r="S24" i="31"/>
  <c r="R25" i="31"/>
  <c r="D6" i="12" s="1"/>
  <c r="R26" i="3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J16" i="83" l="1"/>
  <c r="J25" i="83" s="1"/>
  <c r="C71" i="83"/>
  <c r="Q69" i="83"/>
  <c r="Q68" i="83" s="1"/>
  <c r="C40" i="83"/>
  <c r="C46" i="83" s="1"/>
  <c r="C80" i="83"/>
  <c r="C79" i="83" s="1"/>
  <c r="S26" i="31"/>
  <c r="E6" i="12"/>
  <c r="E8" i="12" s="1"/>
  <c r="S25" i="31"/>
  <c r="D8" i="12"/>
  <c r="C41" i="68"/>
  <c r="C46" i="68"/>
  <c r="C45"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1" i="83"/>
  <c r="D2" i="33"/>
  <c r="Q67" i="83" l="1"/>
  <c r="S22" i="31"/>
  <c r="R22" i="31" s="1"/>
  <c r="B2" i="83"/>
  <c r="Q47" i="83"/>
  <c r="Q53" i="83" s="1"/>
  <c r="C83" i="83"/>
  <c r="C82" i="83" s="1"/>
  <c r="Q56" i="83"/>
  <c r="Q62" i="83" s="1"/>
  <c r="Q65" i="83"/>
  <c r="Q75" i="83" s="1"/>
  <c r="C43" i="83"/>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B20" i="31" l="1"/>
  <c r="B21" i="31" s="1"/>
  <c r="B3" i="83"/>
  <c r="F6" i="12" s="1"/>
  <c r="F8" i="1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8" i="1"/>
  <c r="AO7" i="1"/>
  <c r="AO6" i="1"/>
  <c r="R48" i="39" l="1"/>
  <c r="C7" i="71"/>
  <c r="D8" i="71"/>
  <c r="L46" i="15"/>
  <c r="B2" i="15" s="1"/>
  <c r="G8" i="12" s="1"/>
  <c r="C4" i="12" s="1"/>
  <c r="Q66" i="15"/>
  <c r="Q75" i="15" s="1"/>
  <c r="Q62" i="15"/>
  <c r="B11" i="70"/>
  <c r="B7"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10" i="1"/>
  <c r="AO9" i="1"/>
  <c r="C31" i="12" l="1"/>
  <c r="C23" i="12"/>
  <c r="B10" i="70"/>
  <c r="B9" i="70"/>
  <c r="B2" i="70" s="1"/>
  <c r="B3" i="70" s="1"/>
  <c r="B3" i="15"/>
  <c r="G6" i="12"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B2" i="68" s="1"/>
  <c r="C19" i="9"/>
  <c r="D20" i="9"/>
  <c r="D103" i="9" l="1"/>
  <c r="D22" i="9"/>
  <c r="G19" i="9"/>
  <c r="G21" i="9" s="1"/>
  <c r="C102" i="9"/>
  <c r="C21" i="9"/>
  <c r="B3" i="68"/>
  <c r="C57" i="68"/>
  <c r="C56" i="68" s="1"/>
  <c r="D35" i="9"/>
  <c r="D34" i="9"/>
  <c r="C20" i="9"/>
  <c r="C103" i="9" l="1"/>
  <c r="G20" i="9"/>
  <c r="C32" i="9" s="1"/>
  <c r="C35" i="9" l="1"/>
  <c r="C34" i="9" s="1"/>
  <c r="E64" i="80" l="1"/>
  <c r="E65" i="80"/>
  <c r="E66" i="80" l="1"/>
  <c r="C69" i="80" l="1"/>
  <c r="F63" i="80" l="1"/>
  <c r="F62" i="80"/>
  <c r="F64" i="80"/>
  <c r="F61" i="80"/>
  <c r="G64" i="80" l="1"/>
  <c r="AD3" i="81" s="1"/>
  <c r="G62" i="80"/>
  <c r="G3" i="81" s="1"/>
  <c r="G63" i="80"/>
  <c r="N3" i="81" s="1"/>
  <c r="G61" i="80"/>
  <c r="V3" i="81" s="1"/>
  <c r="F65" i="80"/>
  <c r="F66" i="80" s="1"/>
  <c r="G4" i="81" l="1"/>
  <c r="F3" i="81"/>
  <c r="G65" i="80"/>
  <c r="AL3" i="81" s="1"/>
  <c r="N4" i="81"/>
  <c r="M3" i="81"/>
  <c r="AD4" i="81"/>
  <c r="AC3" i="81"/>
  <c r="V4" i="81"/>
  <c r="U3" i="81"/>
  <c r="AL4" i="81" l="1"/>
  <c r="AK3" i="81"/>
  <c r="AD5" i="81"/>
  <c r="AC4" i="81"/>
  <c r="C70" i="80"/>
  <c r="C71" i="80"/>
  <c r="V5" i="81"/>
  <c r="U4" i="81"/>
  <c r="N5" i="81"/>
  <c r="M4" i="81"/>
  <c r="G5" i="81"/>
  <c r="F4" i="81"/>
  <c r="N6" i="81" l="1"/>
  <c r="M5" i="81"/>
  <c r="AL5" i="81"/>
  <c r="AK4" i="81"/>
  <c r="G6" i="81"/>
  <c r="F5" i="81"/>
  <c r="V6" i="81"/>
  <c r="U5" i="81"/>
  <c r="AD6" i="81"/>
  <c r="AC5" i="81"/>
  <c r="V7" i="81" l="1"/>
  <c r="U6" i="81"/>
  <c r="N7" i="81"/>
  <c r="M6" i="81"/>
  <c r="AD7" i="81"/>
  <c r="AC6" i="81"/>
  <c r="G7" i="81"/>
  <c r="F6" i="81"/>
  <c r="AL6" i="81"/>
  <c r="AK5" i="81"/>
  <c r="G8" i="81" l="1"/>
  <c r="F7" i="81"/>
  <c r="AL7" i="81"/>
  <c r="AK6" i="81"/>
  <c r="AD8" i="81"/>
  <c r="AC7" i="81"/>
  <c r="U7" i="81"/>
  <c r="V8" i="81"/>
  <c r="N8" i="81"/>
  <c r="M7" i="81"/>
  <c r="G9" i="81" l="1"/>
  <c r="F8" i="81"/>
  <c r="N9" i="81"/>
  <c r="M8" i="81"/>
  <c r="AC8" i="81"/>
  <c r="AD9" i="81"/>
  <c r="V9" i="81"/>
  <c r="U8" i="81"/>
  <c r="AL8" i="81"/>
  <c r="AK7" i="81"/>
  <c r="AD10" i="81" l="1"/>
  <c r="AC9" i="81"/>
  <c r="AL9" i="81"/>
  <c r="AK8" i="81"/>
  <c r="F9" i="81"/>
  <c r="G10" i="81"/>
  <c r="V10" i="81"/>
  <c r="U9" i="81"/>
  <c r="N10" i="81"/>
  <c r="M9" i="81"/>
  <c r="V11" i="81" l="1"/>
  <c r="U10" i="81"/>
  <c r="AL10" i="81"/>
  <c r="AK9" i="81"/>
  <c r="G11" i="81"/>
  <c r="F10" i="81"/>
  <c r="M10" i="81"/>
  <c r="N11" i="81"/>
  <c r="AC10" i="81"/>
  <c r="AD11" i="81"/>
  <c r="N12" i="81" l="1"/>
  <c r="M11" i="81"/>
  <c r="AL11" i="81"/>
  <c r="AK10" i="81"/>
  <c r="AD12" i="81"/>
  <c r="AC11" i="81"/>
  <c r="G12" i="81"/>
  <c r="F11" i="81"/>
  <c r="V12" i="81"/>
  <c r="U11" i="81"/>
  <c r="AL12" i="81" l="1"/>
  <c r="AK11" i="81"/>
  <c r="G13" i="81"/>
  <c r="F12" i="81"/>
  <c r="V13" i="81"/>
  <c r="U12" i="81"/>
  <c r="AD13" i="81"/>
  <c r="AC12" i="81"/>
  <c r="N13" i="81"/>
  <c r="M12" i="81"/>
  <c r="G14" i="81" l="1"/>
  <c r="F13" i="81"/>
  <c r="AD14" i="81"/>
  <c r="AC13" i="81"/>
  <c r="N14" i="81"/>
  <c r="M13" i="81"/>
  <c r="V14" i="81"/>
  <c r="U13" i="81"/>
  <c r="AL13" i="81"/>
  <c r="AK12" i="81"/>
  <c r="V15" i="81" l="1"/>
  <c r="U14" i="81"/>
  <c r="AD15" i="81"/>
  <c r="AC14" i="81"/>
  <c r="AL14" i="81"/>
  <c r="AK13" i="81"/>
  <c r="N15" i="81"/>
  <c r="M14" i="81"/>
  <c r="G15" i="81"/>
  <c r="F14" i="81"/>
  <c r="AD16" i="81" l="1"/>
  <c r="AC15" i="81"/>
  <c r="N16" i="81"/>
  <c r="M15" i="81"/>
  <c r="F15" i="81"/>
  <c r="G16" i="81"/>
  <c r="AL15" i="81"/>
  <c r="AK14" i="81"/>
  <c r="V16" i="81"/>
  <c r="U15" i="81"/>
  <c r="AL16" i="81" l="1"/>
  <c r="AK15" i="81"/>
  <c r="N17" i="81"/>
  <c r="M16" i="81"/>
  <c r="G17" i="81"/>
  <c r="F16" i="81"/>
  <c r="V17" i="81"/>
  <c r="U16" i="81"/>
  <c r="AC16" i="81"/>
  <c r="AD17" i="81"/>
  <c r="V18" i="81" l="1"/>
  <c r="U17" i="81"/>
  <c r="N18" i="81"/>
  <c r="M17" i="81"/>
  <c r="AD18" i="81"/>
  <c r="AC17" i="81"/>
  <c r="G18" i="81"/>
  <c r="F17" i="81"/>
  <c r="AL17" i="81"/>
  <c r="AK16" i="81"/>
  <c r="G19" i="81" l="1"/>
  <c r="F18" i="81"/>
  <c r="M18" i="81"/>
  <c r="N19" i="81"/>
  <c r="AL18" i="81"/>
  <c r="AK17" i="81"/>
  <c r="AD19" i="81"/>
  <c r="AC18" i="81"/>
  <c r="V19" i="81"/>
  <c r="U18" i="81"/>
  <c r="AD20" i="81" l="1"/>
  <c r="AC19" i="81"/>
  <c r="N20" i="81"/>
  <c r="M19" i="81"/>
  <c r="V20" i="81"/>
  <c r="U19" i="81"/>
  <c r="AL19" i="81"/>
  <c r="AK18" i="81"/>
  <c r="G20" i="81"/>
  <c r="F19" i="81"/>
  <c r="N21" i="81" l="1"/>
  <c r="M20" i="81"/>
  <c r="AK19" i="81"/>
  <c r="AL20" i="81"/>
  <c r="G21" i="81"/>
  <c r="F20" i="81"/>
  <c r="V21" i="81"/>
  <c r="U20" i="81"/>
  <c r="AD21" i="81"/>
  <c r="AC20" i="81"/>
  <c r="AL21" i="81" l="1"/>
  <c r="AK20" i="81"/>
  <c r="V22" i="81"/>
  <c r="U21" i="81"/>
  <c r="AD22" i="81"/>
  <c r="AC21" i="81"/>
  <c r="G22" i="81"/>
  <c r="F21" i="81"/>
  <c r="N22" i="81"/>
  <c r="M21" i="81"/>
  <c r="V23" i="81" l="1"/>
  <c r="U22" i="81"/>
  <c r="G23" i="81"/>
  <c r="F22" i="81"/>
  <c r="N23" i="81"/>
  <c r="M22" i="81"/>
  <c r="AD23" i="81"/>
  <c r="AC22" i="81"/>
  <c r="AK21" i="81"/>
  <c r="AL22" i="81"/>
  <c r="AD24" i="81" l="1"/>
  <c r="AC23" i="81"/>
  <c r="G24" i="81"/>
  <c r="F23" i="81"/>
  <c r="AL23" i="81"/>
  <c r="AK22" i="81"/>
  <c r="N24" i="81"/>
  <c r="M23" i="81"/>
  <c r="V24" i="81"/>
  <c r="U23" i="81"/>
  <c r="N25" i="81" l="1"/>
  <c r="M24" i="81"/>
  <c r="G25" i="81"/>
  <c r="F24" i="81"/>
  <c r="U24" i="81"/>
  <c r="V25" i="81"/>
  <c r="AK23" i="81"/>
  <c r="AL24" i="81"/>
  <c r="AD25" i="81"/>
  <c r="AC24" i="81"/>
  <c r="AK24" i="81" l="1"/>
  <c r="AL25" i="81"/>
  <c r="G26" i="81"/>
  <c r="F25" i="81"/>
  <c r="V26" i="81"/>
  <c r="U25" i="81"/>
  <c r="AC25" i="81"/>
  <c r="AD26" i="81"/>
  <c r="M25" i="81"/>
  <c r="N26" i="81"/>
  <c r="F26" i="81" l="1"/>
  <c r="G27" i="81"/>
  <c r="AL26" i="81"/>
  <c r="AK25" i="81"/>
  <c r="AD27" i="81"/>
  <c r="AC26" i="81"/>
  <c r="M26" i="81"/>
  <c r="N27" i="81"/>
  <c r="U26" i="81"/>
  <c r="V27" i="81"/>
  <c r="AK26" i="81" l="1"/>
  <c r="AL27" i="81"/>
  <c r="G28" i="81"/>
  <c r="F27" i="81"/>
  <c r="M27" i="81"/>
  <c r="N28" i="81"/>
  <c r="V28" i="81"/>
  <c r="U27" i="81"/>
  <c r="AC27" i="81"/>
  <c r="AD28" i="81"/>
  <c r="U28" i="81" l="1"/>
  <c r="V29" i="81"/>
  <c r="F28" i="81"/>
  <c r="G29" i="81"/>
  <c r="AC28" i="81"/>
  <c r="AD29" i="81"/>
  <c r="N29" i="81"/>
  <c r="M28" i="81"/>
  <c r="AL28" i="81"/>
  <c r="AK27" i="81"/>
  <c r="AC29" i="81" l="1"/>
  <c r="AD30" i="81"/>
  <c r="V30" i="81"/>
  <c r="U29" i="81"/>
  <c r="G30" i="81"/>
  <c r="F29" i="81"/>
  <c r="M29" i="81"/>
  <c r="N30" i="81"/>
  <c r="AK28" i="81"/>
  <c r="AL29" i="81"/>
  <c r="U30" i="81" l="1"/>
  <c r="V31" i="81"/>
  <c r="AD31" i="81"/>
  <c r="AC30" i="81"/>
  <c r="N31" i="81"/>
  <c r="M30" i="81"/>
  <c r="AL30" i="81"/>
  <c r="AK29" i="81"/>
  <c r="F30" i="81"/>
  <c r="G31" i="81"/>
  <c r="AC31" i="81" l="1"/>
  <c r="AD32" i="81"/>
  <c r="F31" i="81"/>
  <c r="G32" i="81"/>
  <c r="V32" i="81"/>
  <c r="U31" i="81"/>
  <c r="AK30" i="81"/>
  <c r="AL31" i="81"/>
  <c r="M31" i="81"/>
  <c r="N32" i="81"/>
  <c r="AK31" i="81" l="1"/>
  <c r="AL32" i="81"/>
  <c r="AD33" i="81"/>
  <c r="AC32" i="81"/>
  <c r="F32" i="81"/>
  <c r="G33" i="81"/>
  <c r="N33" i="81"/>
  <c r="M32" i="81"/>
  <c r="U32" i="81"/>
  <c r="V33" i="81"/>
  <c r="AC33" i="81" l="1"/>
  <c r="AD34" i="81"/>
  <c r="M33" i="81"/>
  <c r="M34" i="81" s="1"/>
  <c r="M35" i="81" s="1"/>
  <c r="N34" i="81"/>
  <c r="V34" i="81"/>
  <c r="U33" i="81"/>
  <c r="G34" i="81"/>
  <c r="F33" i="81"/>
  <c r="AK32" i="81"/>
  <c r="AL33" i="81"/>
  <c r="AD35" i="81" l="1"/>
  <c r="AC34" i="81"/>
  <c r="F34" i="81"/>
  <c r="G35" i="81"/>
  <c r="AL34" i="81"/>
  <c r="AK33" i="81"/>
  <c r="U34" i="81"/>
  <c r="V35" i="81"/>
  <c r="V36" i="81" l="1"/>
  <c r="U35" i="81"/>
  <c r="G36" i="81"/>
  <c r="F35" i="81"/>
  <c r="AK34" i="81"/>
  <c r="AL35" i="81"/>
  <c r="AD36" i="81"/>
  <c r="AC35" i="81"/>
  <c r="G37" i="81" l="1"/>
  <c r="F36" i="81"/>
  <c r="AD37" i="81"/>
  <c r="AC36" i="81"/>
  <c r="AK35" i="81"/>
  <c r="AL36" i="81"/>
  <c r="U36" i="81"/>
  <c r="V37" i="81"/>
  <c r="AD38" i="81" l="1"/>
  <c r="AC37" i="81"/>
  <c r="V38" i="81"/>
  <c r="U37" i="81"/>
  <c r="AK36" i="81"/>
  <c r="AL37" i="81"/>
  <c r="G38" i="81"/>
  <c r="F37" i="81"/>
  <c r="U38" i="81" l="1"/>
  <c r="V39" i="81"/>
  <c r="G39" i="81"/>
  <c r="F38" i="81"/>
  <c r="AK37" i="81"/>
  <c r="AL38" i="81"/>
  <c r="AD39" i="81"/>
  <c r="AC38" i="81"/>
  <c r="AD40" i="81" l="1"/>
  <c r="AC39" i="81"/>
  <c r="AK38" i="81"/>
  <c r="AL39" i="81"/>
  <c r="V40" i="81"/>
  <c r="U39" i="81"/>
  <c r="G40" i="81"/>
  <c r="F39" i="81"/>
  <c r="AK39" i="81" l="1"/>
  <c r="AL40" i="81"/>
  <c r="G41" i="81"/>
  <c r="F40" i="81"/>
  <c r="V41" i="81"/>
  <c r="U40" i="81"/>
  <c r="AD41" i="81"/>
  <c r="AC40" i="81"/>
  <c r="G42" i="81" l="1"/>
  <c r="F41" i="81"/>
  <c r="AK40" i="81"/>
  <c r="AL41" i="81"/>
  <c r="AD42" i="81"/>
  <c r="AC41" i="81"/>
  <c r="U41" i="81"/>
  <c r="V42" i="81"/>
  <c r="V43" i="81" l="1"/>
  <c r="U42" i="81"/>
  <c r="AK41" i="81"/>
  <c r="AL42" i="81"/>
  <c r="AD43" i="81"/>
  <c r="AC42" i="81"/>
  <c r="G43" i="81"/>
  <c r="F42" i="81"/>
  <c r="AK42" i="81" l="1"/>
  <c r="AL43" i="81"/>
  <c r="G44" i="81"/>
  <c r="F43" i="81"/>
  <c r="AD44" i="81"/>
  <c r="AC43" i="81"/>
  <c r="V44" i="81"/>
  <c r="U43" i="81"/>
  <c r="G45" i="81" l="1"/>
  <c r="F44" i="81"/>
  <c r="AK43" i="81"/>
  <c r="AL44" i="81"/>
  <c r="V45" i="81"/>
  <c r="U44" i="81"/>
  <c r="AD45" i="81"/>
  <c r="AC44" i="81"/>
  <c r="AK44" i="81" l="1"/>
  <c r="AL45" i="81"/>
  <c r="AD46" i="81"/>
  <c r="AC45" i="81"/>
  <c r="U45" i="81"/>
  <c r="V46" i="81"/>
  <c r="G46" i="81"/>
  <c r="F45" i="81"/>
  <c r="AD47" i="81" l="1"/>
  <c r="AC46" i="81"/>
  <c r="V47" i="81"/>
  <c r="U46" i="81"/>
  <c r="AK45" i="81"/>
  <c r="AL46" i="81"/>
  <c r="G47" i="81"/>
  <c r="F46" i="81"/>
  <c r="U47" i="81" l="1"/>
  <c r="V48" i="81"/>
  <c r="G48" i="81"/>
  <c r="F47" i="81"/>
  <c r="AK46" i="81"/>
  <c r="AL47" i="81"/>
  <c r="AD48" i="81"/>
  <c r="AC47" i="81"/>
  <c r="G49" i="81" l="1"/>
  <c r="F48" i="81"/>
  <c r="AK47" i="81"/>
  <c r="AL48" i="81"/>
  <c r="V49" i="81"/>
  <c r="U48" i="81"/>
  <c r="AD49" i="81"/>
  <c r="AC48" i="81"/>
  <c r="AK48" i="81" l="1"/>
  <c r="AL49" i="81"/>
  <c r="AD50" i="81"/>
  <c r="AC49" i="81"/>
  <c r="V50" i="81"/>
  <c r="U49" i="81"/>
  <c r="G50" i="81"/>
  <c r="F49" i="81"/>
  <c r="AD51" i="81" l="1"/>
  <c r="AC50" i="81"/>
  <c r="AK49" i="81"/>
  <c r="AL50" i="81"/>
  <c r="G51" i="81"/>
  <c r="F50" i="81"/>
  <c r="U50" i="81"/>
  <c r="V51" i="81"/>
  <c r="AK50" i="81" l="1"/>
  <c r="AL51" i="81"/>
  <c r="V52" i="81"/>
  <c r="U51" i="81"/>
  <c r="G52" i="81"/>
  <c r="F51" i="81"/>
  <c r="AD52" i="81"/>
  <c r="AC51" i="81"/>
  <c r="V53" i="81" l="1"/>
  <c r="U52" i="81"/>
  <c r="AK51" i="81"/>
  <c r="AL52" i="81"/>
  <c r="AD53" i="81"/>
  <c r="AC52" i="81"/>
  <c r="G53" i="81"/>
  <c r="F52" i="81"/>
  <c r="AK52" i="81" l="1"/>
  <c r="AL53" i="81"/>
  <c r="G54" i="81"/>
  <c r="F53" i="81"/>
  <c r="AD54" i="81"/>
  <c r="AC53" i="81"/>
  <c r="U53" i="81"/>
  <c r="V54" i="81"/>
  <c r="V55" i="81" l="1"/>
  <c r="U54" i="81"/>
  <c r="G55" i="81"/>
  <c r="F54" i="81"/>
  <c r="AK53" i="81"/>
  <c r="AL54" i="81"/>
  <c r="AD55" i="81"/>
  <c r="AC54" i="81"/>
  <c r="G56" i="81" l="1"/>
  <c r="F55" i="81"/>
  <c r="AD56" i="81"/>
  <c r="AC55" i="81"/>
  <c r="AK54" i="81"/>
  <c r="AL55" i="81"/>
  <c r="V56" i="81"/>
  <c r="U55" i="81"/>
  <c r="AD57" i="81" l="1"/>
  <c r="AC56" i="81"/>
  <c r="U56" i="81"/>
  <c r="V57" i="81"/>
  <c r="AK55" i="81"/>
  <c r="AL56" i="81"/>
  <c r="G57" i="81"/>
  <c r="F56" i="81"/>
  <c r="V58" i="81" l="1"/>
  <c r="U57" i="81"/>
  <c r="G58" i="81"/>
  <c r="F57" i="81"/>
  <c r="AK56" i="81"/>
  <c r="AL57" i="81"/>
  <c r="AD58" i="81"/>
  <c r="AC57" i="81"/>
  <c r="G59" i="81" l="1"/>
  <c r="F58" i="81"/>
  <c r="AD59" i="81"/>
  <c r="AC58" i="81"/>
  <c r="AK57" i="81"/>
  <c r="AL58" i="81"/>
  <c r="V59" i="81"/>
  <c r="U58" i="81"/>
  <c r="AD60" i="81" l="1"/>
  <c r="AC59" i="81"/>
  <c r="V60" i="81"/>
  <c r="U59" i="81"/>
  <c r="AK58" i="81"/>
  <c r="AL59" i="81"/>
  <c r="G60" i="81"/>
  <c r="F59" i="81"/>
  <c r="U60" i="81" l="1"/>
  <c r="V61" i="81"/>
  <c r="G61" i="81"/>
  <c r="F60" i="81"/>
  <c r="AK59" i="81"/>
  <c r="AL60" i="81"/>
  <c r="AD61" i="81"/>
  <c r="AC60" i="81"/>
  <c r="G62" i="81" l="1"/>
  <c r="F61" i="81"/>
  <c r="AK60" i="81"/>
  <c r="AL61" i="81"/>
  <c r="V62" i="81"/>
  <c r="U61" i="81"/>
  <c r="AD62" i="81"/>
  <c r="AC61" i="81"/>
  <c r="AK61" i="81" l="1"/>
  <c r="AL62" i="81"/>
  <c r="AD63" i="81"/>
  <c r="AC62" i="81"/>
  <c r="V63" i="81"/>
  <c r="U62" i="81"/>
  <c r="G63" i="81"/>
  <c r="F62" i="81"/>
  <c r="AD64" i="81" l="1"/>
  <c r="AC63" i="81"/>
  <c r="AK62" i="81"/>
  <c r="AL63" i="81"/>
  <c r="G64" i="81"/>
  <c r="F63" i="81"/>
  <c r="U63" i="81"/>
  <c r="V64" i="81"/>
  <c r="V65" i="81" l="1"/>
  <c r="U64" i="81"/>
  <c r="AK63" i="81"/>
  <c r="AL64" i="81"/>
  <c r="G65" i="81"/>
  <c r="F64" i="81"/>
  <c r="AD65" i="81"/>
  <c r="AC64" i="81"/>
  <c r="AK64" i="81" l="1"/>
  <c r="AL65" i="81"/>
  <c r="AD66" i="81"/>
  <c r="AC65" i="81"/>
  <c r="G66" i="81"/>
  <c r="F65" i="81"/>
  <c r="V66" i="81"/>
  <c r="U65" i="81"/>
  <c r="AD67" i="81" l="1"/>
  <c r="AC66" i="81"/>
  <c r="AK65" i="81"/>
  <c r="AL66" i="81"/>
  <c r="U66" i="81"/>
  <c r="V67" i="81"/>
  <c r="G67" i="81"/>
  <c r="F66" i="81"/>
  <c r="AK66" i="81" l="1"/>
  <c r="AL67" i="81"/>
  <c r="G68" i="81"/>
  <c r="F67" i="81"/>
  <c r="V68" i="81"/>
  <c r="U67" i="81"/>
  <c r="AD68" i="81"/>
  <c r="AC67" i="81"/>
  <c r="G69" i="81" l="1"/>
  <c r="F68" i="81"/>
  <c r="AK67" i="81"/>
  <c r="AL68" i="81"/>
  <c r="AD69" i="81"/>
  <c r="AC68" i="81"/>
  <c r="V69" i="81"/>
  <c r="U68" i="81"/>
  <c r="AK68" i="81" l="1"/>
  <c r="AL69" i="81"/>
  <c r="V70" i="81"/>
  <c r="U69" i="81"/>
  <c r="AD70" i="81"/>
  <c r="AC69" i="81"/>
  <c r="G70" i="81"/>
  <c r="F69" i="81"/>
  <c r="U70" i="81" l="1"/>
  <c r="V71" i="81"/>
  <c r="AK69" i="81"/>
  <c r="AL70" i="81"/>
  <c r="G71" i="81"/>
  <c r="F70" i="81"/>
  <c r="AD71" i="81"/>
  <c r="AC70" i="81"/>
  <c r="AK70" i="81" l="1"/>
  <c r="AL71" i="81"/>
  <c r="V72" i="81"/>
  <c r="U71" i="81"/>
  <c r="AD72" i="81"/>
  <c r="AC71" i="81"/>
  <c r="G72" i="81"/>
  <c r="F71" i="81"/>
  <c r="V73" i="81" l="1"/>
  <c r="U72" i="81"/>
  <c r="AK71" i="81"/>
  <c r="AL72" i="81"/>
  <c r="G73" i="81"/>
  <c r="F72" i="81"/>
  <c r="AD73" i="81"/>
  <c r="AC72" i="81"/>
  <c r="AK72" i="81" l="1"/>
  <c r="AL73" i="81"/>
  <c r="AD74" i="81"/>
  <c r="AC73" i="81"/>
  <c r="G74" i="81"/>
  <c r="F73" i="81"/>
  <c r="V74" i="81"/>
  <c r="U73" i="81"/>
  <c r="AD75" i="81" l="1"/>
  <c r="AC74" i="81"/>
  <c r="AK73" i="81"/>
  <c r="AL74" i="81"/>
  <c r="U74" i="81"/>
  <c r="V75" i="81"/>
  <c r="G75" i="81"/>
  <c r="F74" i="81"/>
  <c r="G76" i="81" l="1"/>
  <c r="F75" i="81"/>
  <c r="AK74" i="81"/>
  <c r="AL75" i="81"/>
  <c r="V76" i="81"/>
  <c r="U75" i="81"/>
  <c r="AD76" i="81"/>
  <c r="AC75" i="81"/>
  <c r="AK75" i="81" l="1"/>
  <c r="AL76" i="81"/>
  <c r="AD77" i="81"/>
  <c r="AC76" i="81"/>
  <c r="U76" i="81"/>
  <c r="V77" i="81"/>
  <c r="G77" i="81"/>
  <c r="F76" i="81"/>
  <c r="G78" i="81" l="1"/>
  <c r="F77" i="81"/>
  <c r="U77" i="81"/>
  <c r="V78" i="81"/>
  <c r="AK76" i="81"/>
  <c r="AL77" i="81"/>
  <c r="AD78" i="81"/>
  <c r="AC77" i="81"/>
  <c r="V79" i="81" l="1"/>
  <c r="U78" i="81"/>
  <c r="AD79" i="81"/>
  <c r="AC78" i="81"/>
  <c r="AK77" i="81"/>
  <c r="AL78" i="81"/>
  <c r="G79" i="81"/>
  <c r="F78" i="81"/>
  <c r="G80" i="81" l="1"/>
  <c r="F79" i="81"/>
  <c r="AD80" i="81"/>
  <c r="AC79" i="81"/>
  <c r="AK78" i="81"/>
  <c r="AL79" i="81"/>
  <c r="V80" i="81"/>
  <c r="U79" i="81"/>
  <c r="AD81" i="81" l="1"/>
  <c r="AC80" i="81"/>
  <c r="U80" i="81"/>
  <c r="V81" i="81"/>
  <c r="AK79" i="81"/>
  <c r="AL80" i="81"/>
  <c r="G81" i="81"/>
  <c r="F80" i="81"/>
  <c r="V82" i="81" l="1"/>
  <c r="U81" i="81"/>
  <c r="G82" i="81"/>
  <c r="F81" i="81"/>
  <c r="AK80" i="81"/>
  <c r="AL81" i="81"/>
  <c r="AD82" i="81"/>
  <c r="AC81" i="81"/>
  <c r="G83" i="81" l="1"/>
  <c r="F82" i="81"/>
  <c r="AD83" i="81"/>
  <c r="AC82" i="81"/>
  <c r="AK81" i="81"/>
  <c r="AL82" i="81"/>
  <c r="U82" i="81"/>
  <c r="V83" i="81"/>
  <c r="AD84" i="81" l="1"/>
  <c r="AC83" i="81"/>
  <c r="V84" i="81"/>
  <c r="U83" i="81"/>
  <c r="AK82" i="81"/>
  <c r="AL83" i="81"/>
  <c r="G84" i="81"/>
  <c r="F83" i="81"/>
  <c r="V85" i="81" l="1"/>
  <c r="U84" i="81"/>
  <c r="G85" i="81"/>
  <c r="F84" i="81"/>
  <c r="AK83" i="81"/>
  <c r="AL84" i="81"/>
  <c r="AD85" i="81"/>
  <c r="AC84" i="81"/>
  <c r="G86" i="81" l="1"/>
  <c r="F85" i="81"/>
  <c r="AD86" i="81"/>
  <c r="AC85" i="81"/>
  <c r="AK84" i="81"/>
  <c r="AL85" i="81"/>
  <c r="U85" i="81"/>
  <c r="V86" i="81"/>
  <c r="V87" i="81" l="1"/>
  <c r="U86" i="81"/>
  <c r="AD87" i="81"/>
  <c r="AC86" i="81"/>
  <c r="AK85" i="81"/>
  <c r="AL86" i="81"/>
  <c r="G87" i="81"/>
  <c r="F86" i="81"/>
  <c r="AD88" i="81" l="1"/>
  <c r="AC87" i="81"/>
  <c r="AC88" i="81" s="1"/>
  <c r="AC89" i="81" s="1"/>
  <c r="G88" i="81"/>
  <c r="F87" i="81"/>
  <c r="AK86" i="81"/>
  <c r="AL87" i="81"/>
  <c r="V88" i="81"/>
  <c r="U87" i="81"/>
  <c r="U88" i="81" s="1"/>
  <c r="U89" i="81" s="1"/>
  <c r="G89" i="81" l="1"/>
  <c r="F88" i="81"/>
  <c r="AL88" i="81"/>
  <c r="AK87" i="81"/>
  <c r="AL89" i="81" l="1"/>
  <c r="AK88" i="81"/>
  <c r="F89" i="81"/>
  <c r="G90" i="81"/>
  <c r="G91" i="81" l="1"/>
  <c r="F90" i="81"/>
  <c r="AL90" i="81"/>
  <c r="AK89" i="81"/>
  <c r="AL91" i="81" l="1"/>
  <c r="AK90" i="81"/>
  <c r="G92" i="81"/>
  <c r="F91" i="81"/>
  <c r="G93" i="81" l="1"/>
  <c r="F92" i="81"/>
  <c r="AL92" i="81"/>
  <c r="AK91" i="81"/>
  <c r="AL93" i="81" l="1"/>
  <c r="AK92" i="81"/>
  <c r="G94" i="81"/>
  <c r="F93" i="81"/>
  <c r="G95" i="81" l="1"/>
  <c r="F94" i="81"/>
  <c r="AL94" i="81"/>
  <c r="AK93" i="81"/>
  <c r="AL95" i="81" l="1"/>
  <c r="AK94" i="81"/>
  <c r="G96" i="81"/>
  <c r="F95" i="81"/>
  <c r="G97" i="81" l="1"/>
  <c r="F96" i="81"/>
  <c r="AL96" i="81"/>
  <c r="AK95" i="81"/>
  <c r="AL97" i="81" l="1"/>
  <c r="AK96" i="81"/>
  <c r="G98" i="81"/>
  <c r="F97" i="81"/>
  <c r="G99" i="81" l="1"/>
  <c r="F98" i="81"/>
  <c r="AL98" i="81"/>
  <c r="AK97" i="81"/>
  <c r="AL99" i="81" l="1"/>
  <c r="AK98" i="81"/>
  <c r="G100" i="81"/>
  <c r="F99" i="81"/>
  <c r="G101" i="81" l="1"/>
  <c r="F100" i="81"/>
  <c r="AL100" i="81"/>
  <c r="AK99" i="81"/>
  <c r="AL101" i="81" l="1"/>
  <c r="AK100" i="81"/>
  <c r="G102" i="81"/>
  <c r="F101" i="81"/>
  <c r="G103" i="81" l="1"/>
  <c r="F102" i="81"/>
  <c r="AL102" i="81"/>
  <c r="AK101" i="81"/>
  <c r="AL103" i="81" l="1"/>
  <c r="AK102" i="81"/>
  <c r="G104" i="81"/>
  <c r="F103" i="81"/>
  <c r="G105" i="81" l="1"/>
  <c r="F104" i="81"/>
  <c r="AL104" i="81"/>
  <c r="AK103" i="81"/>
  <c r="AL105" i="81" l="1"/>
  <c r="AK104" i="81"/>
  <c r="G106" i="81"/>
  <c r="F105" i="81"/>
  <c r="G107" i="81" l="1"/>
  <c r="F106" i="81"/>
  <c r="AL106" i="81"/>
  <c r="AK105" i="81"/>
  <c r="AL107" i="81" l="1"/>
  <c r="AK106" i="81"/>
  <c r="G108" i="81"/>
  <c r="F107" i="81"/>
  <c r="G109" i="81" l="1"/>
  <c r="F108" i="81"/>
  <c r="AL108" i="81"/>
  <c r="AK107" i="81"/>
  <c r="AL109" i="81" l="1"/>
  <c r="AK108" i="81"/>
  <c r="G110" i="81"/>
  <c r="F109" i="81"/>
  <c r="G111" i="81" l="1"/>
  <c r="F110" i="81"/>
  <c r="AL110" i="81"/>
  <c r="AK109" i="81"/>
  <c r="AL111" i="81" l="1"/>
  <c r="AK110" i="81"/>
  <c r="G112" i="81"/>
  <c r="F111" i="81"/>
  <c r="G113" i="81" l="1"/>
  <c r="F112" i="81"/>
  <c r="AL112" i="81"/>
  <c r="AK111" i="81"/>
  <c r="AL113" i="81" l="1"/>
  <c r="AK112" i="81"/>
  <c r="G114" i="81"/>
  <c r="F113" i="81"/>
  <c r="G115" i="81" l="1"/>
  <c r="F114" i="81"/>
  <c r="AL114" i="81"/>
  <c r="AK113" i="81"/>
  <c r="AL115" i="81" l="1"/>
  <c r="AK114" i="81"/>
  <c r="G116" i="81"/>
  <c r="F115" i="81"/>
  <c r="G117" i="81" l="1"/>
  <c r="F116" i="81"/>
  <c r="AL116" i="81"/>
  <c r="AK115" i="81"/>
  <c r="AL117" i="81" l="1"/>
  <c r="AK116" i="81"/>
  <c r="G118" i="81"/>
  <c r="F117" i="81"/>
  <c r="G119" i="81" l="1"/>
  <c r="F118" i="81"/>
  <c r="AL118" i="81"/>
  <c r="AK117" i="81"/>
  <c r="AL119" i="81" l="1"/>
  <c r="AK118" i="81"/>
  <c r="G120" i="81"/>
  <c r="F119" i="81"/>
  <c r="G121" i="81" l="1"/>
  <c r="F120" i="81"/>
  <c r="AL120" i="81"/>
  <c r="AK119" i="81"/>
  <c r="AL121" i="81" l="1"/>
  <c r="AK120" i="81"/>
  <c r="G122" i="81"/>
  <c r="F121" i="81"/>
  <c r="G123" i="81" l="1"/>
  <c r="F122" i="81"/>
  <c r="AL122" i="81"/>
  <c r="AK121" i="81"/>
  <c r="AL123" i="81" l="1"/>
  <c r="AK122" i="81"/>
  <c r="G124" i="81"/>
  <c r="F123" i="81"/>
  <c r="G125" i="81" l="1"/>
  <c r="F124" i="81"/>
  <c r="AL124" i="81"/>
  <c r="AK123" i="81"/>
  <c r="AL125" i="81" l="1"/>
  <c r="AK124" i="81"/>
  <c r="G126" i="81"/>
  <c r="F125" i="81"/>
  <c r="G127" i="81" l="1"/>
  <c r="F126" i="81"/>
  <c r="AL126" i="81"/>
  <c r="AK125" i="81"/>
  <c r="AL127" i="81" l="1"/>
  <c r="AK126" i="81"/>
  <c r="G128" i="81"/>
  <c r="F127" i="81"/>
  <c r="G129" i="81" l="1"/>
  <c r="F128" i="81"/>
  <c r="AL128" i="81"/>
  <c r="AK127" i="81"/>
  <c r="AL129" i="81" l="1"/>
  <c r="AK128" i="81"/>
  <c r="G130" i="81"/>
  <c r="F129" i="81"/>
  <c r="G131" i="81" l="1"/>
  <c r="F130" i="81"/>
  <c r="AL130" i="81"/>
  <c r="AK129" i="81"/>
  <c r="AL131" i="81" l="1"/>
  <c r="AK130" i="81"/>
  <c r="G132" i="81"/>
  <c r="F131" i="81"/>
  <c r="G133" i="81" l="1"/>
  <c r="F132" i="81"/>
  <c r="AL132" i="81"/>
  <c r="AK131" i="81"/>
  <c r="AL133" i="81" l="1"/>
  <c r="AK132" i="81"/>
  <c r="G134" i="81"/>
  <c r="F133" i="81"/>
  <c r="G135" i="81" l="1"/>
  <c r="F134" i="81"/>
  <c r="AK133" i="81"/>
  <c r="AL134" i="81"/>
  <c r="AL135" i="81" l="1"/>
  <c r="AK134" i="81"/>
  <c r="G136" i="81"/>
  <c r="F135" i="81"/>
  <c r="G137" i="81" l="1"/>
  <c r="F136" i="81"/>
  <c r="AK135" i="81"/>
  <c r="AL136" i="81"/>
  <c r="AL137" i="81" l="1"/>
  <c r="AK136" i="81"/>
  <c r="G138" i="81"/>
  <c r="F137" i="81"/>
  <c r="G139" i="81" l="1"/>
  <c r="F138" i="81"/>
  <c r="AL138" i="81"/>
  <c r="AK137" i="81"/>
  <c r="AL139" i="81" l="1"/>
  <c r="AK138" i="81"/>
  <c r="G140" i="81"/>
  <c r="F139" i="81"/>
  <c r="G141" i="81" l="1"/>
  <c r="F140" i="81"/>
  <c r="AL140" i="81"/>
  <c r="AK139" i="81"/>
  <c r="AL141" i="81" l="1"/>
  <c r="AK140" i="81"/>
  <c r="G142" i="81"/>
  <c r="F141" i="81"/>
  <c r="G143" i="81" l="1"/>
  <c r="F142" i="81"/>
  <c r="AL142" i="81"/>
  <c r="AK141" i="81"/>
  <c r="AL143" i="81" l="1"/>
  <c r="AK142" i="81"/>
  <c r="G144" i="81"/>
  <c r="F143" i="81"/>
  <c r="G145" i="81" l="1"/>
  <c r="F144" i="81"/>
  <c r="AL144" i="81"/>
  <c r="AK143" i="81"/>
  <c r="AL145" i="81" l="1"/>
  <c r="AK144" i="81"/>
  <c r="G146" i="81"/>
  <c r="F145" i="81"/>
  <c r="G147" i="81" l="1"/>
  <c r="F146" i="81"/>
  <c r="AL146" i="81"/>
  <c r="AK145" i="81"/>
  <c r="AL147" i="81" l="1"/>
  <c r="AK146" i="81"/>
  <c r="G148" i="81"/>
  <c r="F147" i="81"/>
  <c r="G149" i="81" l="1"/>
  <c r="F148" i="81"/>
  <c r="AL148" i="81"/>
  <c r="AK147" i="81"/>
  <c r="AL149" i="81" l="1"/>
  <c r="AK148" i="81"/>
  <c r="G150" i="81"/>
  <c r="F149" i="81"/>
  <c r="G151" i="81" l="1"/>
  <c r="F150" i="81"/>
  <c r="AL150" i="81"/>
  <c r="AK149" i="81"/>
  <c r="AL151" i="81" l="1"/>
  <c r="AK150" i="81"/>
  <c r="G152" i="81"/>
  <c r="F151" i="81"/>
  <c r="G153" i="81" l="1"/>
  <c r="F152" i="81"/>
  <c r="AL152" i="81"/>
  <c r="AK151" i="81"/>
  <c r="AL153" i="81" l="1"/>
  <c r="AK152" i="81"/>
  <c r="G154" i="81"/>
  <c r="F153" i="81"/>
  <c r="G155" i="81" l="1"/>
  <c r="F154" i="81"/>
  <c r="AL154" i="81"/>
  <c r="AK153" i="81"/>
  <c r="AL155" i="81" l="1"/>
  <c r="AK154" i="81"/>
  <c r="G156" i="81"/>
  <c r="F155" i="81"/>
  <c r="G157" i="81" l="1"/>
  <c r="F156" i="81"/>
  <c r="AL156" i="81"/>
  <c r="AK155" i="81"/>
  <c r="AL157" i="81" l="1"/>
  <c r="AK156" i="81"/>
  <c r="G158" i="81"/>
  <c r="F157" i="81"/>
  <c r="G159" i="81" l="1"/>
  <c r="F158" i="81"/>
  <c r="AL158" i="81"/>
  <c r="AK157" i="81"/>
  <c r="AL159" i="81" l="1"/>
  <c r="AK158" i="81"/>
  <c r="G160" i="81"/>
  <c r="F159" i="81"/>
  <c r="G161" i="81" l="1"/>
  <c r="F160" i="81"/>
  <c r="AL160" i="81"/>
  <c r="AK159" i="81"/>
  <c r="AL161" i="81" l="1"/>
  <c r="AK160" i="81"/>
  <c r="G162" i="81"/>
  <c r="F161" i="81"/>
  <c r="G163" i="81" l="1"/>
  <c r="F162" i="81"/>
  <c r="AL162" i="81"/>
  <c r="AK161" i="81"/>
  <c r="AL163" i="81" l="1"/>
  <c r="AK162" i="81"/>
  <c r="G164" i="81"/>
  <c r="F163" i="81"/>
  <c r="G165" i="81" l="1"/>
  <c r="F164" i="81"/>
  <c r="AL164" i="81"/>
  <c r="AK163" i="81"/>
  <c r="AL165" i="81" l="1"/>
  <c r="AK164" i="81"/>
  <c r="G166" i="81"/>
  <c r="F165" i="81"/>
  <c r="G167" i="81" l="1"/>
  <c r="F166" i="81"/>
  <c r="AL166" i="81"/>
  <c r="AK165" i="81"/>
  <c r="AL167" i="81" l="1"/>
  <c r="AK166" i="81"/>
  <c r="G168" i="81"/>
  <c r="F167" i="81"/>
  <c r="G169" i="81" l="1"/>
  <c r="F168" i="81"/>
  <c r="AL168" i="81"/>
  <c r="AK167" i="81"/>
  <c r="AL169" i="81" l="1"/>
  <c r="AK168" i="81"/>
  <c r="G170" i="81"/>
  <c r="F169" i="81"/>
  <c r="G171" i="81" l="1"/>
  <c r="F170" i="81"/>
  <c r="AL170" i="81"/>
  <c r="AK169" i="81"/>
  <c r="AL171" i="81" l="1"/>
  <c r="AK170" i="81"/>
  <c r="G172" i="81"/>
  <c r="F171" i="81"/>
  <c r="G173" i="81" l="1"/>
  <c r="F172" i="81"/>
  <c r="AL172" i="81"/>
  <c r="AK171" i="81"/>
  <c r="AL173" i="81" l="1"/>
  <c r="AK172" i="81"/>
  <c r="G174" i="81"/>
  <c r="F173" i="81"/>
  <c r="G175" i="81" l="1"/>
  <c r="F174" i="81"/>
  <c r="AL174" i="81"/>
  <c r="AK173" i="81"/>
  <c r="AL175" i="81" l="1"/>
  <c r="AK174" i="81"/>
  <c r="G176" i="81"/>
  <c r="F175" i="81"/>
  <c r="G177" i="81" l="1"/>
  <c r="F176" i="81"/>
  <c r="AL176" i="81"/>
  <c r="AK175" i="81"/>
  <c r="AL177" i="81" l="1"/>
  <c r="AK176" i="81"/>
  <c r="G178" i="81"/>
  <c r="F177" i="81"/>
  <c r="G179" i="81" l="1"/>
  <c r="F178" i="81"/>
  <c r="AL178" i="81"/>
  <c r="AK177" i="81"/>
  <c r="AL179" i="81" l="1"/>
  <c r="AK178" i="81"/>
  <c r="G180" i="81"/>
  <c r="F179" i="81"/>
  <c r="G181" i="81" l="1"/>
  <c r="F180" i="81"/>
  <c r="AL180" i="81"/>
  <c r="AK179" i="81"/>
  <c r="AL181" i="81" l="1"/>
  <c r="AK180" i="81"/>
  <c r="G182" i="81"/>
  <c r="F181" i="81"/>
  <c r="G183" i="81" l="1"/>
  <c r="F182" i="81"/>
  <c r="AL182" i="81"/>
  <c r="AK181" i="81"/>
  <c r="AL183" i="81" l="1"/>
  <c r="AK182" i="81"/>
  <c r="G184" i="81"/>
  <c r="F183" i="81"/>
  <c r="G185" i="81" l="1"/>
  <c r="F184" i="81"/>
  <c r="AL184" i="81"/>
  <c r="AK183" i="81"/>
  <c r="AL185" i="81" l="1"/>
  <c r="AK184" i="81"/>
  <c r="G186" i="81"/>
  <c r="F185" i="81"/>
  <c r="G187" i="81" l="1"/>
  <c r="F186" i="81"/>
  <c r="AL186" i="81"/>
  <c r="AK185" i="81"/>
  <c r="AL187" i="81" l="1"/>
  <c r="AK186" i="81"/>
  <c r="G188" i="81"/>
  <c r="F187" i="81"/>
  <c r="G189" i="81" l="1"/>
  <c r="F188" i="81"/>
  <c r="AL188" i="81"/>
  <c r="AK187" i="81"/>
  <c r="AL189" i="81" l="1"/>
  <c r="AK188" i="81"/>
  <c r="G190" i="81"/>
  <c r="F189" i="81"/>
  <c r="G191" i="81" l="1"/>
  <c r="F190" i="81"/>
  <c r="AL190" i="81"/>
  <c r="AK189" i="81"/>
  <c r="AL191" i="81" l="1"/>
  <c r="AK190" i="81"/>
  <c r="G192" i="81"/>
  <c r="F191" i="81"/>
  <c r="G193" i="81" l="1"/>
  <c r="F192" i="81"/>
  <c r="AL192" i="81"/>
  <c r="AK191" i="81"/>
  <c r="AL193" i="81" l="1"/>
  <c r="AK192" i="81"/>
  <c r="G194" i="81"/>
  <c r="F193" i="81"/>
  <c r="G195" i="81" l="1"/>
  <c r="F194" i="81"/>
  <c r="AL194" i="81"/>
  <c r="AK193" i="81"/>
  <c r="AL195" i="81" l="1"/>
  <c r="AK194" i="81"/>
  <c r="G196" i="81"/>
  <c r="F195" i="81"/>
  <c r="G197" i="81" l="1"/>
  <c r="F196" i="81"/>
  <c r="AL196" i="81"/>
  <c r="AK195" i="81"/>
  <c r="AL197" i="81" l="1"/>
  <c r="AK196" i="81"/>
  <c r="G198" i="81"/>
  <c r="F197" i="81"/>
  <c r="G199" i="81" l="1"/>
  <c r="F198" i="81"/>
  <c r="AL198" i="81"/>
  <c r="AK197" i="81"/>
  <c r="AL199" i="81" l="1"/>
  <c r="AK198" i="81"/>
  <c r="G200" i="81"/>
  <c r="F199" i="81"/>
  <c r="G201" i="81" l="1"/>
  <c r="F200" i="81"/>
  <c r="AL200" i="81"/>
  <c r="AK199" i="81"/>
  <c r="AL201" i="81" l="1"/>
  <c r="AK200" i="81"/>
  <c r="G202" i="81"/>
  <c r="F201" i="81"/>
  <c r="G203" i="81" l="1"/>
  <c r="F202" i="81"/>
  <c r="AL202" i="81"/>
  <c r="AK201" i="81"/>
  <c r="AL203" i="81" l="1"/>
  <c r="AK202" i="81"/>
  <c r="G204" i="81"/>
  <c r="F203" i="81"/>
  <c r="G205" i="81" l="1"/>
  <c r="F204" i="81"/>
  <c r="AL204" i="81"/>
  <c r="AK203" i="81"/>
  <c r="AL205" i="81" l="1"/>
  <c r="AK204" i="81"/>
  <c r="G206" i="81"/>
  <c r="F205" i="81"/>
  <c r="G207" i="81" l="1"/>
  <c r="F206" i="81"/>
  <c r="AL206" i="81"/>
  <c r="AK205" i="81"/>
  <c r="AL207" i="81" l="1"/>
  <c r="AK206" i="81"/>
  <c r="G208" i="81"/>
  <c r="F207" i="81"/>
  <c r="G209" i="81" l="1"/>
  <c r="F208" i="81"/>
  <c r="AL208" i="81"/>
  <c r="AK207" i="81"/>
  <c r="AL209" i="81" l="1"/>
  <c r="AK208" i="81"/>
  <c r="G210" i="81"/>
  <c r="F209" i="81"/>
  <c r="G211" i="81" l="1"/>
  <c r="F210" i="81"/>
  <c r="AL210" i="81"/>
  <c r="AK209" i="81"/>
  <c r="AL211" i="81" l="1"/>
  <c r="AK210" i="81"/>
  <c r="G212" i="81"/>
  <c r="F211" i="81"/>
  <c r="G213" i="81" l="1"/>
  <c r="F212" i="81"/>
  <c r="AL212" i="81"/>
  <c r="AK211" i="81"/>
  <c r="AL213" i="81" l="1"/>
  <c r="AK212" i="81"/>
  <c r="G214" i="81"/>
  <c r="F213" i="81"/>
  <c r="G215" i="81" l="1"/>
  <c r="F214" i="81"/>
  <c r="AL214" i="81"/>
  <c r="AK213" i="81"/>
  <c r="AL215" i="81" l="1"/>
  <c r="AK214" i="81"/>
  <c r="G216" i="81"/>
  <c r="F215" i="81"/>
  <c r="G217" i="81" l="1"/>
  <c r="F216" i="81"/>
  <c r="AL216" i="81"/>
  <c r="AK215" i="81"/>
  <c r="AL217" i="81" l="1"/>
  <c r="AK216" i="81"/>
  <c r="G218" i="81"/>
  <c r="F217" i="81"/>
  <c r="G219" i="81" l="1"/>
  <c r="F218" i="81"/>
  <c r="AL218" i="81"/>
  <c r="AK217" i="81"/>
  <c r="AL219" i="81" l="1"/>
  <c r="AK218" i="81"/>
  <c r="G220" i="81"/>
  <c r="F219" i="81"/>
  <c r="G221" i="81" l="1"/>
  <c r="F220" i="81"/>
  <c r="AL220" i="81"/>
  <c r="AK219" i="81"/>
  <c r="AL221" i="81" l="1"/>
  <c r="AK220" i="81"/>
  <c r="G222" i="81"/>
  <c r="F221" i="81"/>
  <c r="G223" i="81" l="1"/>
  <c r="F222" i="81"/>
  <c r="AL222" i="81"/>
  <c r="AK221" i="81"/>
  <c r="AL223" i="81" l="1"/>
  <c r="AK222" i="81"/>
  <c r="G224" i="81"/>
  <c r="F223" i="81"/>
  <c r="G225" i="81" l="1"/>
  <c r="F224" i="81"/>
  <c r="AL224" i="81"/>
  <c r="AK223" i="81"/>
  <c r="AL225" i="81" l="1"/>
  <c r="AK224" i="81"/>
  <c r="G226" i="81"/>
  <c r="F225" i="81"/>
  <c r="G227" i="81" l="1"/>
  <c r="F226" i="81"/>
  <c r="AL226" i="81"/>
  <c r="AK225" i="81"/>
  <c r="AL227" i="81" l="1"/>
  <c r="AK226" i="81"/>
  <c r="G228" i="81"/>
  <c r="F227" i="81"/>
  <c r="G229" i="81" l="1"/>
  <c r="F228" i="81"/>
  <c r="AL228" i="81"/>
  <c r="AK227" i="81"/>
  <c r="AL229" i="81" l="1"/>
  <c r="AK228" i="81"/>
  <c r="G230" i="81"/>
  <c r="F229" i="81"/>
  <c r="G231" i="81" l="1"/>
  <c r="F230" i="81"/>
  <c r="AL230" i="81"/>
  <c r="AK229" i="81"/>
  <c r="AL231" i="81" l="1"/>
  <c r="AK230" i="81"/>
  <c r="G232" i="81"/>
  <c r="F231" i="81"/>
  <c r="G233" i="81" l="1"/>
  <c r="F232" i="81"/>
  <c r="AL232" i="81"/>
  <c r="AK231" i="81"/>
  <c r="AL233" i="81" l="1"/>
  <c r="AK232" i="81"/>
  <c r="G234" i="81"/>
  <c r="F233" i="81"/>
  <c r="G235" i="81" l="1"/>
  <c r="F234" i="81"/>
  <c r="AL234" i="81"/>
  <c r="AK233" i="81"/>
  <c r="AL235" i="81" l="1"/>
  <c r="AK234" i="81"/>
  <c r="G236" i="81"/>
  <c r="F235" i="81"/>
  <c r="G237" i="81" l="1"/>
  <c r="F236" i="81"/>
  <c r="AL236" i="81"/>
  <c r="AK235" i="81"/>
  <c r="AL237" i="81" l="1"/>
  <c r="AK236" i="81"/>
  <c r="G238" i="81"/>
  <c r="F237" i="81"/>
  <c r="G239" i="81" l="1"/>
  <c r="F238" i="81"/>
  <c r="AL238" i="81"/>
  <c r="AK237" i="81"/>
  <c r="AL239" i="81" l="1"/>
  <c r="AK238" i="81"/>
  <c r="G240" i="81"/>
  <c r="F239" i="81"/>
  <c r="G241" i="81" l="1"/>
  <c r="F240" i="81"/>
  <c r="AL240" i="81"/>
  <c r="AK239" i="81"/>
  <c r="AL241" i="81" l="1"/>
  <c r="AK240" i="81"/>
  <c r="G242" i="81"/>
  <c r="F241" i="81"/>
  <c r="G243" i="81" l="1"/>
  <c r="F242" i="81"/>
  <c r="AL242" i="81"/>
  <c r="AK241" i="81"/>
  <c r="AL243" i="81" l="1"/>
  <c r="AK242" i="81"/>
  <c r="G244" i="81"/>
  <c r="F243" i="81"/>
  <c r="G245" i="81" l="1"/>
  <c r="F244" i="81"/>
  <c r="AL244" i="81"/>
  <c r="AK243" i="81"/>
  <c r="AL245" i="81" l="1"/>
  <c r="AK244" i="81"/>
  <c r="G246" i="81"/>
  <c r="F245" i="81"/>
  <c r="G247" i="81" l="1"/>
  <c r="F246" i="81"/>
  <c r="AL246" i="81"/>
  <c r="AK245" i="81"/>
  <c r="AL247" i="81" l="1"/>
  <c r="AK246" i="81"/>
  <c r="G248" i="81"/>
  <c r="F247" i="81"/>
  <c r="G249" i="81" l="1"/>
  <c r="F248" i="81"/>
  <c r="AL248" i="81"/>
  <c r="AK247" i="81"/>
  <c r="AL249" i="81" l="1"/>
  <c r="AK248" i="81"/>
  <c r="G250" i="81"/>
  <c r="F249" i="81"/>
  <c r="G251" i="81" l="1"/>
  <c r="F250" i="81"/>
  <c r="AL250" i="81"/>
  <c r="AK249" i="81"/>
  <c r="AL251" i="81" l="1"/>
  <c r="AK250" i="81"/>
  <c r="G252" i="81"/>
  <c r="F251" i="81"/>
  <c r="G253" i="81" l="1"/>
  <c r="F252" i="81"/>
  <c r="AL252" i="81"/>
  <c r="AK251" i="81"/>
  <c r="AL253" i="81" l="1"/>
  <c r="AK252" i="81"/>
  <c r="G254" i="81"/>
  <c r="F253" i="81"/>
  <c r="G255" i="81" l="1"/>
  <c r="F254" i="81"/>
  <c r="AL254" i="81"/>
  <c r="AK253" i="81"/>
  <c r="AL255" i="81" l="1"/>
  <c r="AK254" i="81"/>
  <c r="G256" i="81"/>
  <c r="F255" i="81"/>
  <c r="G257" i="81" l="1"/>
  <c r="F256" i="81"/>
  <c r="AL256" i="81"/>
  <c r="AK255" i="81"/>
  <c r="AL257" i="81" l="1"/>
  <c r="AK256" i="81"/>
  <c r="G258" i="81"/>
  <c r="F257" i="81"/>
  <c r="G259" i="81" l="1"/>
  <c r="F258" i="81"/>
  <c r="AL258" i="81"/>
  <c r="AK257" i="81"/>
  <c r="AL259" i="81" l="1"/>
  <c r="AK258" i="81"/>
  <c r="G260" i="81"/>
  <c r="F259" i="81"/>
  <c r="G261" i="81" l="1"/>
  <c r="F260" i="81"/>
  <c r="AL260" i="81"/>
  <c r="AK259" i="81"/>
  <c r="AL261" i="81" l="1"/>
  <c r="AK260" i="81"/>
  <c r="G262" i="81"/>
  <c r="F261" i="81"/>
  <c r="G263" i="81" l="1"/>
  <c r="F262" i="81"/>
  <c r="AL262" i="81"/>
  <c r="AK261" i="81"/>
  <c r="AL263" i="81" l="1"/>
  <c r="AK262" i="81"/>
  <c r="G264" i="81"/>
  <c r="F263" i="81"/>
  <c r="G265" i="81" l="1"/>
  <c r="F264" i="81"/>
  <c r="AL264" i="81"/>
  <c r="AK263" i="81"/>
  <c r="AL265" i="81" l="1"/>
  <c r="AK264" i="81"/>
  <c r="G266" i="81"/>
  <c r="F265" i="81"/>
  <c r="G267" i="81" l="1"/>
  <c r="F266" i="81"/>
  <c r="AL266" i="81"/>
  <c r="AK265" i="81"/>
  <c r="AL267" i="81" l="1"/>
  <c r="AK266" i="81"/>
  <c r="G268" i="81"/>
  <c r="F267" i="81"/>
  <c r="G269" i="81" l="1"/>
  <c r="F268" i="81"/>
  <c r="AL268" i="81"/>
  <c r="AK267" i="81"/>
  <c r="AK268" i="81" l="1"/>
  <c r="AL269" i="81"/>
  <c r="G270" i="81"/>
  <c r="F269" i="81"/>
  <c r="AK269" i="81" l="1"/>
  <c r="AL270" i="81"/>
  <c r="G271" i="81"/>
  <c r="F270" i="81"/>
  <c r="G272" i="81" l="1"/>
  <c r="F271" i="81"/>
  <c r="AK270" i="81"/>
  <c r="AL271" i="81"/>
  <c r="AK271" i="81" l="1"/>
  <c r="AL272" i="81"/>
  <c r="G273" i="81"/>
  <c r="F272" i="81"/>
  <c r="G274" i="81" l="1"/>
  <c r="F273" i="81"/>
  <c r="AK272" i="81"/>
  <c r="AL273" i="81"/>
  <c r="AK273" i="81" l="1"/>
  <c r="AL274" i="81"/>
  <c r="G275" i="81"/>
  <c r="F274" i="81"/>
  <c r="G276" i="81" l="1"/>
  <c r="F275" i="81"/>
  <c r="AK274" i="81"/>
  <c r="AL275" i="81"/>
  <c r="AK275" i="81" l="1"/>
  <c r="AL276" i="81"/>
  <c r="G277" i="81"/>
  <c r="F276" i="81"/>
  <c r="AK276" i="81" l="1"/>
  <c r="AL277" i="81"/>
  <c r="G278" i="81"/>
  <c r="F277" i="81"/>
  <c r="G279" i="81" l="1"/>
  <c r="F278" i="81"/>
  <c r="AK277" i="81"/>
  <c r="AL278" i="81"/>
  <c r="AK278" i="81" l="1"/>
  <c r="AL279" i="81"/>
  <c r="G280" i="81"/>
  <c r="F279" i="81"/>
  <c r="G281" i="81" l="1"/>
  <c r="F280" i="81"/>
  <c r="AK279" i="81"/>
  <c r="AL280" i="81"/>
  <c r="AK280" i="81" l="1"/>
  <c r="AL281" i="81"/>
  <c r="G282" i="81"/>
  <c r="F281" i="81"/>
  <c r="G283" i="81" l="1"/>
  <c r="F282" i="81"/>
  <c r="AK281" i="81"/>
  <c r="AL282" i="81"/>
  <c r="AK282" i="81" l="1"/>
  <c r="AL283" i="81"/>
  <c r="G284" i="81"/>
  <c r="F283" i="81"/>
  <c r="G285" i="81" l="1"/>
  <c r="F284" i="81"/>
  <c r="AK283" i="81"/>
  <c r="AL284" i="81"/>
  <c r="AK284" i="81" l="1"/>
  <c r="AL285" i="81"/>
  <c r="G286" i="81"/>
  <c r="F285" i="81"/>
  <c r="G287" i="81" l="1"/>
  <c r="F286" i="81"/>
  <c r="AK285" i="81"/>
  <c r="AL286" i="81"/>
  <c r="AK286" i="81" l="1"/>
  <c r="AL287" i="81"/>
  <c r="G288" i="81"/>
  <c r="F287" i="81"/>
  <c r="G289" i="81" l="1"/>
  <c r="F288" i="81"/>
  <c r="AK287" i="81"/>
  <c r="AL288" i="81"/>
  <c r="AK288" i="81" l="1"/>
  <c r="AL289" i="81"/>
  <c r="G290" i="81"/>
  <c r="F289" i="81"/>
  <c r="G291" i="81" l="1"/>
  <c r="F290" i="81"/>
  <c r="AK289" i="81"/>
  <c r="AL290" i="81"/>
  <c r="AK290" i="81" l="1"/>
  <c r="AL291" i="81"/>
  <c r="G292" i="81"/>
  <c r="F291" i="81"/>
  <c r="AK291" i="81" l="1"/>
  <c r="AL292" i="81"/>
  <c r="G293" i="81"/>
  <c r="F292" i="81"/>
  <c r="G294" i="81" l="1"/>
  <c r="F293" i="81"/>
  <c r="AK292" i="81"/>
  <c r="AL293" i="81"/>
  <c r="AK293" i="81" l="1"/>
  <c r="AL294" i="81"/>
  <c r="G295" i="81"/>
  <c r="F294" i="81"/>
  <c r="G296" i="81" l="1"/>
  <c r="F295" i="81"/>
  <c r="AK294" i="81"/>
  <c r="AL295" i="81"/>
  <c r="AL296" i="81" l="1"/>
  <c r="AK295" i="81"/>
  <c r="G297" i="81"/>
  <c r="F296" i="81"/>
  <c r="G298" i="81" l="1"/>
  <c r="F297" i="81"/>
  <c r="AL297" i="81"/>
  <c r="AK296" i="81"/>
  <c r="AL298" i="81" l="1"/>
  <c r="AK297" i="81"/>
  <c r="G299" i="81"/>
  <c r="F298" i="81"/>
  <c r="G300" i="81" l="1"/>
  <c r="F299" i="81"/>
  <c r="AL299" i="81"/>
  <c r="AK298" i="81"/>
  <c r="AL300" i="81" l="1"/>
  <c r="AK299" i="81"/>
  <c r="G301" i="81"/>
  <c r="F300" i="81"/>
  <c r="G302" i="81" l="1"/>
  <c r="F301" i="81"/>
  <c r="AL301" i="81"/>
  <c r="AK300" i="81"/>
  <c r="AL302" i="81" l="1"/>
  <c r="AK301" i="81"/>
  <c r="G303" i="81"/>
  <c r="F302" i="81"/>
  <c r="G304" i="81" l="1"/>
  <c r="F303" i="81"/>
  <c r="AL303" i="81"/>
  <c r="AK302" i="81"/>
  <c r="AL304" i="81" l="1"/>
  <c r="AK303" i="81"/>
  <c r="G305" i="81"/>
  <c r="F304" i="81"/>
  <c r="G306" i="81" l="1"/>
  <c r="F305" i="81"/>
  <c r="AL305" i="81"/>
  <c r="AK304" i="81"/>
  <c r="AL306" i="81" l="1"/>
  <c r="AK305" i="81"/>
  <c r="G307" i="81"/>
  <c r="F306" i="81"/>
  <c r="G308" i="81" l="1"/>
  <c r="F307" i="81"/>
  <c r="AL307" i="81"/>
  <c r="AK306" i="81"/>
  <c r="AL308" i="81" l="1"/>
  <c r="AK307" i="81"/>
  <c r="G309" i="81"/>
  <c r="F308" i="81"/>
  <c r="G310" i="81" l="1"/>
  <c r="F309" i="81"/>
  <c r="AL309" i="81"/>
  <c r="AK308" i="81"/>
  <c r="AL310" i="81" l="1"/>
  <c r="AK309" i="81"/>
  <c r="G311" i="81"/>
  <c r="F310" i="81"/>
  <c r="G312" i="81" l="1"/>
  <c r="F311" i="81"/>
  <c r="AL311" i="81"/>
  <c r="AK310" i="81"/>
  <c r="AL312" i="81" l="1"/>
  <c r="AK311" i="81"/>
  <c r="G313" i="81"/>
  <c r="F312" i="81"/>
  <c r="G314" i="81" l="1"/>
  <c r="F313" i="81"/>
  <c r="AL313" i="81"/>
  <c r="AK312" i="81"/>
  <c r="AL314" i="81" l="1"/>
  <c r="AK313" i="81"/>
  <c r="G315" i="81"/>
  <c r="F314" i="81"/>
  <c r="G316" i="81" l="1"/>
  <c r="F315" i="81"/>
  <c r="AL315" i="81"/>
  <c r="AK314" i="81"/>
  <c r="AL316" i="81" l="1"/>
  <c r="AK315" i="81"/>
  <c r="G317" i="81"/>
  <c r="F316" i="81"/>
  <c r="G318" i="81" l="1"/>
  <c r="F317" i="81"/>
  <c r="AL317" i="81"/>
  <c r="AK316" i="81"/>
  <c r="AL318" i="81" l="1"/>
  <c r="AK317" i="81"/>
  <c r="G319" i="81"/>
  <c r="F318" i="81"/>
  <c r="G320" i="81" l="1"/>
  <c r="F319" i="81"/>
  <c r="AL319" i="81"/>
  <c r="AK318" i="81"/>
  <c r="AL320" i="81" l="1"/>
  <c r="AK319" i="81"/>
  <c r="G321" i="81"/>
  <c r="F320" i="81"/>
  <c r="G322" i="81" l="1"/>
  <c r="F321" i="81"/>
  <c r="AL321" i="81"/>
  <c r="AK320" i="81"/>
  <c r="AL322" i="81" l="1"/>
  <c r="AK321" i="81"/>
  <c r="G323" i="81"/>
  <c r="F322" i="81"/>
  <c r="G324" i="81" l="1"/>
  <c r="F323" i="81"/>
  <c r="AL323" i="81"/>
  <c r="AK322" i="81"/>
  <c r="AL324" i="81" l="1"/>
  <c r="AK323" i="81"/>
  <c r="G325" i="81"/>
  <c r="F324" i="81"/>
  <c r="G326" i="81" l="1"/>
  <c r="F325" i="81"/>
  <c r="AL325" i="81"/>
  <c r="AK324" i="81"/>
  <c r="AL326" i="81" l="1"/>
  <c r="AK325" i="81"/>
  <c r="G327" i="81"/>
  <c r="F326" i="81"/>
  <c r="G328" i="81" l="1"/>
  <c r="F327" i="81"/>
  <c r="AL327" i="81"/>
  <c r="AK326" i="81"/>
  <c r="AL328" i="81" l="1"/>
  <c r="AK327" i="81"/>
  <c r="G329" i="81"/>
  <c r="F328" i="81"/>
  <c r="G330" i="81" l="1"/>
  <c r="F329" i="81"/>
  <c r="AL329" i="81"/>
  <c r="AK328" i="81"/>
  <c r="AL330" i="81" l="1"/>
  <c r="AK329" i="81"/>
  <c r="G331" i="81"/>
  <c r="F330" i="81"/>
  <c r="G332" i="81" l="1"/>
  <c r="F331" i="81"/>
  <c r="AL331" i="81"/>
  <c r="AK330" i="81"/>
  <c r="AL332" i="81" l="1"/>
  <c r="AK331" i="81"/>
  <c r="G333" i="81"/>
  <c r="F332" i="81"/>
  <c r="G334" i="81" l="1"/>
  <c r="F333" i="81"/>
  <c r="AL333" i="81"/>
  <c r="AK332" i="81"/>
  <c r="AL334" i="81" l="1"/>
  <c r="AK333" i="81"/>
  <c r="G335" i="81"/>
  <c r="F334" i="81"/>
  <c r="G336" i="81" l="1"/>
  <c r="F335" i="81"/>
  <c r="AL335" i="81"/>
  <c r="AK334" i="81"/>
  <c r="AL336" i="81" l="1"/>
  <c r="AK335" i="81"/>
  <c r="G337" i="81"/>
  <c r="F336" i="81"/>
  <c r="G338" i="81" l="1"/>
  <c r="F337" i="81"/>
  <c r="AL337" i="81"/>
  <c r="AK336" i="81"/>
  <c r="AL338" i="81" l="1"/>
  <c r="AK337" i="81"/>
  <c r="G339" i="81"/>
  <c r="F338" i="81"/>
  <c r="G340" i="81" l="1"/>
  <c r="F339" i="81"/>
  <c r="AL339" i="81"/>
  <c r="AK338" i="81"/>
  <c r="AL340" i="81" l="1"/>
  <c r="AK339" i="81"/>
  <c r="G341" i="81"/>
  <c r="F340" i="81"/>
  <c r="G342" i="81" l="1"/>
  <c r="F341" i="81"/>
  <c r="AL341" i="81"/>
  <c r="AK340" i="81"/>
  <c r="AL342" i="81" l="1"/>
  <c r="AK341" i="81"/>
  <c r="G343" i="81"/>
  <c r="F342" i="81"/>
  <c r="G344" i="81" l="1"/>
  <c r="F343" i="81"/>
  <c r="AL343" i="81"/>
  <c r="AK342" i="81"/>
  <c r="AL344" i="81" l="1"/>
  <c r="AK343" i="81"/>
  <c r="G345" i="81"/>
  <c r="F344" i="81"/>
  <c r="G346" i="81" l="1"/>
  <c r="F345" i="81"/>
  <c r="AL345" i="81"/>
  <c r="AK344" i="81"/>
  <c r="AL346" i="81" l="1"/>
  <c r="AK345" i="81"/>
  <c r="G347" i="81"/>
  <c r="F346" i="81"/>
  <c r="G348" i="81" l="1"/>
  <c r="F347" i="81"/>
  <c r="AL347" i="81"/>
  <c r="AK346" i="81"/>
  <c r="AL348" i="81" l="1"/>
  <c r="AK347" i="81"/>
  <c r="G349" i="81"/>
  <c r="F348" i="81"/>
  <c r="G350" i="81" l="1"/>
  <c r="F349" i="81"/>
  <c r="AL349" i="81"/>
  <c r="AK348" i="81"/>
  <c r="AL350" i="81" l="1"/>
  <c r="AK349" i="81"/>
  <c r="G351" i="81"/>
  <c r="F350" i="81"/>
  <c r="G352" i="81" l="1"/>
  <c r="F351" i="81"/>
  <c r="AL351" i="81"/>
  <c r="AK350" i="81"/>
  <c r="AL352" i="81" l="1"/>
  <c r="AK351" i="81"/>
  <c r="G353" i="81"/>
  <c r="F352" i="81"/>
  <c r="G354" i="81" l="1"/>
  <c r="F353" i="81"/>
  <c r="AL353" i="81"/>
  <c r="AK352" i="81"/>
  <c r="AL354" i="81" l="1"/>
  <c r="AK353" i="81"/>
  <c r="G355" i="81"/>
  <c r="F354" i="81"/>
  <c r="G356" i="81" l="1"/>
  <c r="F355" i="81"/>
  <c r="AL355" i="81"/>
  <c r="AK354" i="81"/>
  <c r="AL356" i="81" l="1"/>
  <c r="AK355" i="81"/>
  <c r="G357" i="81"/>
  <c r="F356" i="81"/>
  <c r="G358" i="81" l="1"/>
  <c r="F357" i="81"/>
  <c r="AL357" i="81"/>
  <c r="AK356" i="81"/>
  <c r="AK357" i="81" l="1"/>
  <c r="AL358" i="81"/>
  <c r="G359" i="81"/>
  <c r="F358" i="81"/>
  <c r="G360" i="81" l="1"/>
  <c r="F359" i="81"/>
  <c r="AL359" i="81"/>
  <c r="AK358" i="81"/>
  <c r="AL360" i="81" l="1"/>
  <c r="AK359" i="81"/>
  <c r="G361" i="81"/>
  <c r="F360" i="81"/>
  <c r="G362" i="81" l="1"/>
  <c r="F361" i="81"/>
  <c r="AL361" i="81"/>
  <c r="AK360" i="81"/>
  <c r="AL362" i="81" l="1"/>
  <c r="AK361" i="81"/>
  <c r="G363" i="81"/>
  <c r="F362" i="81"/>
  <c r="G364" i="81" l="1"/>
  <c r="F363" i="81"/>
  <c r="AK362" i="81"/>
  <c r="AL363" i="81"/>
  <c r="AL364" i="81" l="1"/>
  <c r="AK363" i="81"/>
  <c r="G365" i="81"/>
  <c r="F364" i="81"/>
  <c r="G366" i="81" l="1"/>
  <c r="F365" i="81"/>
  <c r="AL365" i="81"/>
  <c r="AK364" i="81"/>
  <c r="AL366" i="81" l="1"/>
  <c r="AK365" i="81"/>
  <c r="G367" i="81"/>
  <c r="F366" i="81"/>
  <c r="G368" i="81" l="1"/>
  <c r="F367" i="81"/>
  <c r="AL367" i="81"/>
  <c r="AK366" i="81"/>
  <c r="AL368" i="81" l="1"/>
  <c r="AK367" i="81"/>
  <c r="G369" i="81"/>
  <c r="F368" i="81"/>
  <c r="G370" i="81" l="1"/>
  <c r="F369" i="81"/>
  <c r="AL369" i="81"/>
  <c r="AK368" i="81"/>
  <c r="AL370" i="81" l="1"/>
  <c r="AK369" i="81"/>
  <c r="G371" i="81"/>
  <c r="F370" i="81"/>
  <c r="G372" i="81" l="1"/>
  <c r="F371" i="81"/>
  <c r="AL371" i="81"/>
  <c r="AK370" i="81"/>
  <c r="AL372" i="81" l="1"/>
  <c r="AK371" i="81"/>
  <c r="G373" i="81"/>
  <c r="F372" i="81"/>
  <c r="G374" i="81" l="1"/>
  <c r="F373" i="81"/>
  <c r="AL373" i="81"/>
  <c r="AK372" i="81"/>
  <c r="AL374" i="81" l="1"/>
  <c r="AK373" i="81"/>
  <c r="G375" i="81"/>
  <c r="F374" i="81"/>
  <c r="G376" i="81" l="1"/>
  <c r="F375" i="81"/>
  <c r="AL375" i="81"/>
  <c r="AK374" i="81"/>
  <c r="AL376" i="81" l="1"/>
  <c r="AK375" i="81"/>
  <c r="G377" i="81"/>
  <c r="F376" i="81"/>
  <c r="G378" i="81" l="1"/>
  <c r="F377" i="81"/>
  <c r="AL377" i="81"/>
  <c r="AK376" i="81"/>
  <c r="AL378" i="81" l="1"/>
  <c r="AK377" i="81"/>
  <c r="G379" i="81"/>
  <c r="F378" i="81"/>
  <c r="G380" i="81" l="1"/>
  <c r="F379" i="81"/>
  <c r="AL379" i="81"/>
  <c r="AK378" i="81"/>
  <c r="AL380" i="81" l="1"/>
  <c r="AK379" i="81"/>
  <c r="G381" i="81"/>
  <c r="F380" i="81"/>
  <c r="G382" i="81" l="1"/>
  <c r="F381" i="81"/>
  <c r="AL381" i="81"/>
  <c r="AK380" i="81"/>
  <c r="AL382" i="81" l="1"/>
  <c r="AK381" i="81"/>
  <c r="G383" i="81"/>
  <c r="F382" i="81"/>
  <c r="G384" i="81" l="1"/>
  <c r="F383" i="81"/>
  <c r="AL383" i="81"/>
  <c r="AK382" i="81"/>
  <c r="AL384" i="81" l="1"/>
  <c r="AK383" i="81"/>
  <c r="G385" i="81"/>
  <c r="F384" i="81"/>
  <c r="G386" i="81" l="1"/>
  <c r="F385" i="81"/>
  <c r="AL385" i="81"/>
  <c r="AK384" i="81"/>
  <c r="AL386" i="81" l="1"/>
  <c r="AK385" i="81"/>
  <c r="G387" i="81"/>
  <c r="F386" i="81"/>
  <c r="G388" i="81" l="1"/>
  <c r="F387" i="81"/>
  <c r="AL387" i="81"/>
  <c r="AK386" i="81"/>
  <c r="AL388" i="81" l="1"/>
  <c r="AK387" i="81"/>
  <c r="G389" i="81"/>
  <c r="F388" i="81"/>
  <c r="F389" i="81" s="1"/>
  <c r="F390" i="81" s="1"/>
  <c r="AL389" i="81" l="1"/>
  <c r="AK388" i="81"/>
  <c r="AK389" i="81" l="1"/>
  <c r="AL390" i="81"/>
  <c r="AK390" i="81" l="1"/>
  <c r="AL391" i="81"/>
  <c r="AK391" i="81" l="1"/>
  <c r="AL392" i="81"/>
  <c r="AK392" i="81" l="1"/>
  <c r="AL393" i="81"/>
  <c r="AK393" i="81" l="1"/>
  <c r="AL394" i="81"/>
  <c r="AK394" i="81" l="1"/>
  <c r="AL395" i="81"/>
  <c r="AK395" i="81" l="1"/>
  <c r="AL396" i="81"/>
  <c r="AK396" i="81" l="1"/>
  <c r="AL397" i="81"/>
  <c r="AK397" i="81" l="1"/>
  <c r="AL398" i="81"/>
  <c r="AK398" i="81" l="1"/>
  <c r="AL399" i="81"/>
  <c r="AK399" i="81" l="1"/>
  <c r="AL400" i="81"/>
  <c r="AK400" i="81" l="1"/>
  <c r="AL401" i="81"/>
  <c r="AK401" i="81" l="1"/>
  <c r="AL402" i="81"/>
  <c r="AK402" i="81" l="1"/>
  <c r="AL403" i="81"/>
  <c r="AK403" i="81" l="1"/>
  <c r="AL404" i="81"/>
  <c r="AK404" i="81" l="1"/>
  <c r="AL405" i="81"/>
  <c r="AK405" i="81" l="1"/>
  <c r="AL406" i="81"/>
  <c r="AK406" i="81" l="1"/>
  <c r="AL407" i="81"/>
  <c r="AK407" i="81" l="1"/>
  <c r="AL408" i="81"/>
  <c r="AK408" i="81" l="1"/>
  <c r="AL409" i="81"/>
  <c r="AK409" i="81" l="1"/>
  <c r="AL410" i="81"/>
  <c r="AK410" i="81" l="1"/>
  <c r="AL411" i="81"/>
  <c r="AK411" i="81" l="1"/>
  <c r="AL412" i="81"/>
  <c r="AK412" i="81" l="1"/>
  <c r="AL413" i="81"/>
  <c r="AK413" i="81" l="1"/>
  <c r="AL414" i="81"/>
  <c r="AK414" i="81" l="1"/>
  <c r="AL415" i="81"/>
  <c r="AK415" i="81" l="1"/>
  <c r="AL416" i="81"/>
  <c r="AK416" i="81" l="1"/>
  <c r="AL417" i="81"/>
  <c r="AK417" i="81" l="1"/>
  <c r="AL418" i="81"/>
  <c r="AK418" i="81" l="1"/>
  <c r="AL419" i="81"/>
  <c r="AK419" i="81" l="1"/>
  <c r="AL420" i="81"/>
  <c r="AK420" i="81" l="1"/>
  <c r="AL421" i="81"/>
  <c r="AK421" i="81" l="1"/>
  <c r="AL422" i="81"/>
  <c r="AK422" i="81" l="1"/>
  <c r="AL423" i="81"/>
  <c r="AK423" i="81" l="1"/>
  <c r="AL424" i="81"/>
  <c r="AK424" i="81" l="1"/>
  <c r="AL425" i="81"/>
  <c r="AK425" i="81" l="1"/>
  <c r="AL426" i="81"/>
  <c r="AK426" i="81" l="1"/>
  <c r="AL427" i="81"/>
  <c r="AK427" i="81" l="1"/>
  <c r="AL428" i="81"/>
  <c r="AK428" i="81" l="1"/>
  <c r="AL429" i="81"/>
  <c r="AK429" i="81" l="1"/>
  <c r="AL430" i="81"/>
  <c r="AK430" i="81" l="1"/>
  <c r="AL431" i="81"/>
  <c r="AK431" i="81" l="1"/>
  <c r="AL432" i="81"/>
  <c r="AK432" i="81" l="1"/>
  <c r="AL433" i="81"/>
  <c r="AK433" i="81" l="1"/>
  <c r="AL434" i="81"/>
  <c r="AK434" i="81" l="1"/>
  <c r="AL435" i="81"/>
  <c r="AK435" i="81" l="1"/>
  <c r="AL436" i="81"/>
  <c r="AK436" i="81" l="1"/>
  <c r="AL437" i="81"/>
  <c r="AK437" i="81" l="1"/>
  <c r="AL438" i="81"/>
  <c r="AK438" i="81" l="1"/>
  <c r="AL439" i="81"/>
  <c r="AK439" i="81" l="1"/>
  <c r="AL440" i="81"/>
  <c r="AK440" i="81" l="1"/>
  <c r="AL441" i="81"/>
  <c r="AK441" i="81" l="1"/>
  <c r="AL442" i="81"/>
  <c r="AK442" i="81" l="1"/>
  <c r="AL443" i="81"/>
  <c r="AK443" i="81" l="1"/>
  <c r="AL444" i="81"/>
  <c r="AK444" i="81" l="1"/>
  <c r="AL445" i="81"/>
  <c r="AK445" i="81" l="1"/>
  <c r="AL446" i="81"/>
  <c r="AK446" i="81" l="1"/>
  <c r="AL447" i="81"/>
  <c r="AK447" i="81" l="1"/>
  <c r="AL448" i="81"/>
  <c r="AK448" i="81" l="1"/>
  <c r="AL449" i="81"/>
  <c r="AK449" i="81" l="1"/>
  <c r="AL450" i="81"/>
  <c r="AK450" i="81" l="1"/>
  <c r="AL451" i="81"/>
  <c r="AK451" i="81" l="1"/>
  <c r="AL452" i="81"/>
  <c r="AK452" i="81" l="1"/>
  <c r="AL453" i="81"/>
  <c r="AK453" i="81" l="1"/>
  <c r="AL454" i="81"/>
  <c r="AK454" i="81" l="1"/>
  <c r="AL455" i="81"/>
  <c r="AK455" i="81" l="1"/>
  <c r="AL456" i="81"/>
  <c r="AK456" i="81" l="1"/>
  <c r="AL457" i="81"/>
  <c r="AK457" i="81" l="1"/>
  <c r="AL458" i="81"/>
  <c r="AK458" i="81" l="1"/>
  <c r="AL459" i="81"/>
  <c r="AK459" i="81" l="1"/>
  <c r="AL460" i="81"/>
  <c r="AK460" i="81" l="1"/>
  <c r="AL461" i="81"/>
  <c r="AK461" i="81" l="1"/>
  <c r="AL462" i="81"/>
  <c r="AK462" i="81" l="1"/>
  <c r="AL463" i="81"/>
  <c r="AK463" i="81" l="1"/>
  <c r="AL464" i="81"/>
  <c r="AK464" i="81" l="1"/>
  <c r="AL465" i="81"/>
  <c r="AK465" i="81" l="1"/>
  <c r="AL466" i="81"/>
  <c r="AK466" i="81" l="1"/>
  <c r="AL467" i="81"/>
  <c r="AK467" i="81" l="1"/>
  <c r="AL468" i="81"/>
  <c r="AK468" i="81" l="1"/>
  <c r="AL469" i="81"/>
  <c r="AK469" i="81" l="1"/>
  <c r="AL470" i="81"/>
  <c r="AK470" i="81" l="1"/>
  <c r="AL471" i="81"/>
  <c r="AK471" i="81" l="1"/>
  <c r="AL472" i="81"/>
  <c r="AK472" i="81" l="1"/>
  <c r="AL473" i="81"/>
  <c r="AK473" i="81" l="1"/>
  <c r="AL474" i="81"/>
  <c r="AK474" i="81" l="1"/>
  <c r="AL475" i="81"/>
  <c r="AK475" i="81" l="1"/>
  <c r="AL476" i="81"/>
  <c r="AK476" i="81" l="1"/>
  <c r="AL477" i="81"/>
  <c r="AK477" i="81" l="1"/>
  <c r="AL478" i="81"/>
  <c r="AK478" i="81" l="1"/>
  <c r="AL479" i="81"/>
  <c r="AK479" i="81" l="1"/>
  <c r="AL480" i="81"/>
  <c r="AK480" i="81" l="1"/>
  <c r="AL481" i="81"/>
  <c r="AK481" i="81" l="1"/>
  <c r="AL482" i="81"/>
  <c r="AK482" i="81" l="1"/>
  <c r="AL483" i="81"/>
  <c r="AK483" i="81" l="1"/>
  <c r="AL484" i="81"/>
  <c r="AK484" i="81" l="1"/>
  <c r="AL485" i="81"/>
  <c r="AK485" i="81" l="1"/>
  <c r="AL486" i="81"/>
  <c r="AK486" i="81" l="1"/>
  <c r="AL487" i="81"/>
  <c r="AK487" i="81" l="1"/>
  <c r="AL488" i="81"/>
  <c r="AK488" i="81" l="1"/>
  <c r="AL489" i="81"/>
  <c r="AK489" i="81" l="1"/>
  <c r="AL490" i="81"/>
  <c r="AK490" i="81" l="1"/>
  <c r="AL491" i="81"/>
  <c r="AK491" i="81" l="1"/>
  <c r="AL492" i="81"/>
  <c r="AK492" i="81" l="1"/>
  <c r="AL493" i="81"/>
  <c r="AK493" i="81" l="1"/>
  <c r="AL494" i="81"/>
  <c r="AK494" i="81" l="1"/>
  <c r="AL495" i="81"/>
  <c r="AK495" i="81" l="1"/>
  <c r="AL496" i="81"/>
  <c r="AK496" i="81" l="1"/>
  <c r="AL497" i="81"/>
  <c r="AK497" i="81" l="1"/>
  <c r="AL498" i="81"/>
  <c r="AK498" i="81" l="1"/>
  <c r="AL499" i="81"/>
  <c r="AK499" i="81" l="1"/>
  <c r="AL500" i="81"/>
  <c r="AK500" i="81" l="1"/>
  <c r="AK501" i="81" s="1"/>
  <c r="AK502" i="81" s="1"/>
  <c r="AL501" i="81"/>
  <c r="F118" i="9"/>
  <c r="F4" i="52" s="1"/>
  <c r="B51" i="72" s="1"/>
  <c r="D118" i="9"/>
  <c r="D4" i="52" s="1"/>
  <c r="B47" i="72" s="1"/>
  <c r="H118" i="9"/>
  <c r="H4" i="52" l="1"/>
  <c r="D14" i="74"/>
  <c r="D119" i="9"/>
  <c r="D5" i="52" s="1"/>
  <c r="B49" i="72" s="1"/>
  <c r="H101" i="9"/>
  <c r="D45" i="9" s="1"/>
  <c r="C72" i="9" s="1"/>
  <c r="I118" i="9"/>
  <c r="C104" i="9"/>
  <c r="H119" i="9"/>
  <c r="H5" i="52" s="1"/>
  <c r="G118" i="9"/>
  <c r="G4" i="52" s="1"/>
  <c r="B52" i="72" s="1"/>
  <c r="F119" i="9"/>
  <c r="F5" i="52" s="1"/>
  <c r="B53" i="72" s="1"/>
  <c r="M48" i="9" l="1"/>
  <c r="C93" i="9"/>
  <c r="C86" i="9" s="1"/>
  <c r="D52" i="9"/>
  <c r="H107" i="9"/>
  <c r="D122" i="9" s="1"/>
  <c r="C78" i="9"/>
  <c r="C73" i="9" s="1"/>
  <c r="C79" i="9" s="1"/>
  <c r="D5" i="53"/>
  <c r="B20" i="72" s="1"/>
  <c r="C85" i="9"/>
  <c r="D53" i="9"/>
  <c r="E14" i="74"/>
  <c r="B5" i="74"/>
  <c r="D5" i="74" s="1"/>
  <c r="F14" i="74"/>
  <c r="C64" i="9"/>
  <c r="C63" i="9" s="1"/>
  <c r="C67" i="9" s="1"/>
  <c r="D59" i="9" s="1"/>
  <c r="M55" i="9" s="1"/>
  <c r="D55" i="9"/>
  <c r="M53" i="9" s="1"/>
  <c r="E118" i="9"/>
  <c r="E4" i="52" s="1"/>
  <c r="B48" i="72" s="1"/>
  <c r="H102" i="9"/>
  <c r="I4" i="52"/>
  <c r="C105" i="9"/>
  <c r="D6" i="53" l="1"/>
  <c r="B22" i="72" s="1"/>
  <c r="C95" i="9"/>
  <c r="C96" i="9" s="1"/>
  <c r="E96" i="9" s="1"/>
  <c r="E97" i="9" s="1"/>
  <c r="H108" i="9"/>
  <c r="C6" i="74" s="1"/>
  <c r="C68" i="9"/>
  <c r="D54" i="9" s="1"/>
  <c r="D13" i="53"/>
  <c r="D14" i="53" s="1"/>
  <c r="B32" i="72" s="1"/>
  <c r="D15" i="53"/>
  <c r="B31" i="72" s="1"/>
  <c r="C80" i="9"/>
  <c r="E80" i="9" s="1"/>
  <c r="E81" i="9" s="1"/>
  <c r="D8" i="52"/>
  <c r="D123" i="9"/>
  <c r="D9" i="52" s="1"/>
  <c r="D7" i="53"/>
  <c r="B21" i="72" s="1"/>
  <c r="C5" i="74"/>
  <c r="C97" i="9" l="1"/>
  <c r="D58" i="9" s="1"/>
  <c r="D56" i="9" s="1"/>
  <c r="M54" i="9" s="1"/>
  <c r="N57" i="9" s="1"/>
  <c r="N59" i="9" s="1"/>
  <c r="N61" i="9" s="1"/>
  <c r="B30" i="72"/>
  <c r="C81" i="9"/>
  <c r="P57" i="9" l="1"/>
  <c r="N60"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<sst xmlns="http://schemas.openxmlformats.org/spreadsheetml/2006/main" count="10445" uniqueCount="3731">
  <si>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</si>
  <si>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</si>
  <si>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</si>
  <si>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</si>
  <si>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</si>
  <si>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</si>
  <si>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</si>
  <si>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</si>
  <si>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</si>
  <si>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</si>
  <si>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</si>
  <si>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</si>
  <si>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</si>
  <si>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</si>
  <si>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</si>
  <si>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</si>
  <si>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</si>
  <si>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</si>
  <si>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</si>
  <si>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</si>
  <si>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</si>
  <si>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</si>
  <si>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</si>
  <si>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</si>
  <si>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</si>
  <si>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</si>
  <si>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</si>
  <si>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</si>
  <si>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</si>
  <si>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</si>
  <si>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</si>
  <si>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</si>
  <si>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</si>
  <si>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</si>
  <si>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</si>
  <si>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</si>
  <si>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</si>
  <si>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</si>
  <si>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</si>
  <si>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</si>
  <si>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</si>
  <si>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</si>
  <si>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</si>
  <si>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</si>
  <si>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</si>
  <si>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</si>
  <si>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</si>
  <si>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</si>
  <si>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</si>
  <si>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</si>
  <si>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</si>
  <si>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</si>
  <si>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</si>
  <si>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</si>
  <si>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</si>
  <si>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</si>
  <si>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</si>
  <si>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</si>
  <si>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</si>
  <si>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</si>
  <si>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</si>
  <si>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</si>
  <si>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</si>
  <si>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</si>
  <si>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</si>
  <si>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</si>
  <si>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</si>
  <si>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</si>
  <si>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</si>
  <si>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</si>
  <si>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</si>
  <si>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</si>
  <si>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</si>
  <si>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</si>
  <si>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</si>
  <si>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</si>
  <si>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</si>
  <si>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</si>
  <si>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</si>
  <si>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</si>
  <si>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</si>
  <si>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</si>
  <si>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</si>
  <si>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</si>
  <si>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</si>
  <si>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</si>
  <si>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</si>
  <si>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</si>
  <si>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</si>
  <si>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</si>
  <si>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</si>
  <si>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</si>
  <si>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</si>
  <si>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</si>
  <si>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</si>
  <si>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</si>
  <si>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</si>
  <si>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</si>
  <si>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</si>
  <si>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</si>
  <si>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</si>
  <si>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</si>
  <si>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</si>
  <si>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</si>
  <si>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</si>
  <si>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</si>
  <si>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</si>
  <si>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</si>
  <si>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</si>
  <si>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</si>
  <si>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</si>
  <si>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</si>
  <si>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</si>
  <si>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</si>
  <si>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</si>
  <si>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</si>
  <si>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</si>
  <si>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</si>
  <si>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</si>
  <si>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</si>
  <si>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</si>
  <si>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</si>
  <si>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</si>
  <si>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</si>
  <si>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</si>
  <si>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</si>
  <si>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</si>
  <si>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</si>
  <si>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</si>
  <si>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</si>
  <si>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</si>
  <si>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</si>
  <si>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</si>
  <si>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</si>
  <si>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</si>
  <si>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</si>
  <si>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</si>
  <si>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</si>
  <si>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</si>
  <si>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</si>
  <si>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</si>
  <si>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</si>
  <si>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</si>
  <si>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</si>
  <si>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</si>
  <si>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</si>
  <si>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</si>
  <si>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</si>
  <si>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</si>
  <si>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</si>
  <si>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</si>
  <si>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</si>
  <si>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</si>
  <si>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</si>
  <si>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</si>
  <si>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</si>
  <si>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</si>
  <si>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</si>
  <si>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</si>
  <si>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</si>
  <si>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</si>
  <si>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</si>
  <si>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</si>
  <si>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</si>
  <si>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</si>
  <si>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</si>
  <si>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</si>
  <si>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</si>
  <si>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</si>
  <si>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</si>
  <si>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</si>
  <si>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</si>
  <si>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</si>
  <si>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</si>
  <si>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</si>
  <si>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</si>
  <si>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</si>
  <si>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</si>
  <si>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</si>
  <si>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</si>
  <si>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</si>
  <si>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</si>
  <si>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</si>
  <si>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</si>
  <si>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</si>
  <si>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</si>
  <si>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</si>
  <si>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</si>
  <si>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</si>
  <si>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</si>
  <si>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</si>
  <si>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</si>
  <si>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</si>
  <si>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</si>
  <si>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</si>
  <si>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</si>
  <si>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</si>
  <si>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</si>
  <si>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</si>
  <si>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</si>
  <si>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</si>
  <si>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</si>
  <si>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</si>
  <si>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</si>
  <si>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</si>
  <si>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</si>
  <si>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</si>
  <si>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</si>
  <si>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</si>
  <si>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</si>
  <si>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</si>
  <si>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</si>
  <si>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</si>
  <si>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</si>
  <si>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</si>
  <si>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</si>
  <si>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</si>
  <si>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</si>
  <si>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</si>
  <si>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</si>
  <si>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</si>
  <si>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</si>
  <si>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</si>
  <si>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</si>
  <si>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</si>
  <si>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</si>
  <si>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</si>
  <si>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</si>
  <si>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</si>
  <si>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</si>
  <si>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</si>
  <si>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</si>
  <si>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</si>
  <si>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</si>
  <si>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</si>
  <si>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</si>
  <si>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</si>
  <si>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</si>
  <si>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</si>
  <si>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</si>
  <si>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</si>
  <si>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</si>
  <si>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</si>
  <si>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</si>
  <si>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</si>
  <si>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</si>
  <si>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</si>
  <si>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</si>
  <si>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</si>
  <si>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</si>
  <si>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</si>
  <si>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</si>
  <si>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</si>
  <si>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</si>
  <si>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</si>
  <si>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</si>
  <si>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</si>
  <si>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</si>
  <si>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</si>
  <si>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</si>
  <si>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</si>
  <si>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</si>
  <si>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</si>
  <si>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</si>
  <si>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</si>
  <si>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</si>
  <si>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</si>
  <si>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</si>
  <si>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</si>
  <si>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</si>
  <si>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</si>
  <si>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</si>
  <si>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</si>
  <si>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</si>
  <si>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</si>
  <si>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</si>
  <si>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</si>
  <si>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</si>
  <si>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</si>
  <si>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</si>
  <si>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</si>
  <si>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</si>
  <si>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</si>
  <si>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</si>
  <si>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</si>
  <si>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</si>
  <si>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</si>
  <si>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</si>
  <si>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</si>
  <si>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</si>
  <si>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</si>
  <si>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</si>
  <si>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</si>
  <si>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</si>
  <si>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</si>
  <si>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</si>
  <si>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</si>
  <si>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</si>
  <si>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</si>
  <si>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</si>
  <si>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</si>
  <si>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</si>
  <si>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</si>
  <si>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</si>
  <si>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</si>
  <si>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</si>
  <si>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</si>
  <si>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</si>
  <si>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</si>
  <si>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</si>
  <si>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</si>
  <si>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</si>
  <si>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</si>
  <si>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</si>
  <si>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</si>
  <si>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</si>
  <si>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</si>
  <si>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</si>
  <si>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</si>
  <si>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</si>
  <si>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</si>
  <si>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</si>
  <si>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</si>
  <si>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</si>
  <si>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</si>
  <si>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</si>
  <si>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</si>
  <si>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</si>
  <si>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</si>
  <si>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</si>
  <si>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</si>
  <si>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</si>
  <si>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</si>
  <si>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</si>
  <si>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</si>
  <si>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</si>
  <si>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</si>
  <si>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</si>
  <si>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</si>
  <si>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</si>
  <si>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</si>
  <si>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</si>
  <si>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</si>
  <si>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</si>
  <si>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</si>
  <si>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</si>
  <si>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</si>
  <si>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</si>
  <si>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</si>
  <si>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</si>
  <si>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</si>
  <si>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</si>
  <si>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</si>
  <si>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</si>
  <si>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</si>
  <si>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</si>
  <si>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</si>
  <si>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</si>
  <si>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</si>
  <si>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</si>
  <si>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</si>
  <si>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</si>
  <si>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</si>
  <si>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</si>
  <si>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</si>
  <si>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</si>
  <si>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</si>
  <si>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</si>
  <si>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</si>
  <si>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</si>
  <si>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</si>
  <si>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</si>
  <si>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</si>
  <si>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</si>
  <si>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</si>
  <si>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</si>
  <si>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</si>
  <si>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</si>
  <si>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</si>
  <si>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</si>
  <si>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</si>
  <si>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</si>
  <si>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</si>
  <si>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</si>
  <si>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</si>
  <si>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</si>
  <si>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</si>
  <si>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</si>
  <si>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</si>
  <si>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</si>
  <si>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</si>
  <si>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</si>
  <si>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</si>
  <si>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</si>
  <si>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</si>
  <si>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</si>
  <si>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</si>
  <si>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</si>
  <si>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</si>
  <si>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</si>
  <si>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</si>
  <si>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</si>
  <si>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</si>
  <si>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</si>
  <si>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</si>
  <si>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</si>
  <si>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</si>
  <si>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</si>
  <si>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</si>
  <si>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</si>
  <si>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</si>
  <si>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</si>
  <si>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</si>
  <si>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</si>
  <si>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</si>
  <si>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</si>
  <si>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</si>
  <si>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</si>
  <si>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</si>
  <si>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</si>
  <si>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</si>
  <si>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</si>
  <si>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</si>
  <si>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</si>
  <si>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</si>
  <si>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</si>
  <si>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</si>
  <si>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</si>
  <si>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</si>
  <si>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</si>
  <si>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</si>
  <si>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</si>
  <si>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</si>
  <si>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</si>
  <si>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</si>
  <si>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</si>
  <si>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</si>
  <si>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</si>
  <si>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</si>
  <si>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</si>
  <si>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</si>
  <si>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</si>
  <si>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</si>
  <si>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</si>
  <si>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</si>
  <si>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</si>
  <si>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</si>
  <si>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</si>
  <si>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</si>
  <si>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</si>
  <si>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</si>
  <si>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</si>
  <si>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</si>
  <si>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</si>
  <si>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</si>
  <si>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</si>
  <si>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</si>
  <si>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</si>
  <si>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</si>
  <si>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</si>
  <si>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</si>
  <si>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</si>
  <si>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</si>
  <si>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</si>
  <si>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</si>
  <si>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</si>
  <si>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</si>
  <si>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</si>
  <si>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</si>
  <si>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</si>
  <si>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</si>
  <si>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</si>
  <si>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</si>
  <si>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</si>
  <si>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</si>
  <si>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</si>
  <si>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</si>
  <si>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</si>
  <si>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</si>
  <si>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</si>
  <si>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</si>
  <si>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</si>
  <si>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</si>
  <si>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</si>
  <si>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</si>
  <si>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</si>
  <si>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</si>
  <si>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</si>
  <si>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</si>
  <si>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</si>
  <si>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</si>
  <si>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</si>
  <si>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</si>
  <si>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</si>
  <si>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</si>
  <si>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</si>
  <si>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</si>
  <si>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</si>
  <si>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</si>
  <si>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</si>
  <si>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</si>
  <si>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</si>
  <si>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</si>
  <si>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</si>
  <si>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</si>
  <si>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</si>
  <si>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</si>
  <si>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</si>
  <si>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</si>
  <si>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</si>
  <si>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</si>
  <si>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</si>
  <si>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</si>
  <si>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</si>
  <si>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</si>
  <si>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</si>
  <si>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</si>
  <si>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</si>
  <si>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</si>
  <si>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</si>
  <si>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</si>
  <si>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</si>
  <si>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</si>
  <si>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</si>
  <si>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</si>
  <si>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</si>
  <si>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</si>
  <si>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</si>
  <si>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</si>
  <si>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</si>
  <si>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</si>
  <si>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</si>
  <si>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</si>
  <si>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</si>
  <si>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</si>
  <si>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</si>
  <si>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</si>
  <si>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</si>
  <si>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</si>
  <si>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</si>
  <si>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</si>
  <si>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</si>
  <si>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</si>
  <si>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</si>
  <si>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</si>
  <si>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</si>
  <si>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</si>
  <si>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</si>
  <si>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</si>
  <si>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</si>
  <si>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</si>
  <si>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</si>
  <si>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</si>
  <si>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</si>
  <si>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</si>
  <si>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</si>
  <si>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</si>
  <si>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</si>
  <si>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</si>
  <si>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</si>
  <si>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</si>
  <si>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</si>
  <si>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</si>
  <si>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</si>
  <si>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</si>
  <si>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</si>
  <si>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</si>
  <si>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</si>
  <si>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</si>
  <si>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</si>
  <si>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</si>
  <si>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</si>
  <si>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</si>
  <si>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</si>
  <si>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</si>
  <si>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</si>
  <si>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</si>
  <si>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</si>
  <si>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</si>
  <si>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</si>
  <si>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</si>
  <si>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</si>
  <si>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</si>
  <si>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</si>
  <si>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</si>
  <si>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</si>
  <si>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</si>
  <si>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</si>
  <si>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</si>
  <si>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</si>
  <si>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</si>
  <si>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</si>
  <si>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</si>
  <si>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</si>
  <si>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</si>
  <si>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</si>
  <si>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</si>
  <si>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</si>
  <si>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</si>
  <si>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</si>
  <si>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</si>
  <si>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</si>
  <si>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</si>
  <si>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</si>
  <si>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</si>
  <si>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</si>
  <si>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</si>
  <si>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</si>
  <si>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</si>
  <si>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</si>
  <si>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</si>
  <si>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</si>
  <si>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</si>
  <si>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</si>
  <si>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</si>
  <si>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</si>
  <si>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</si>
  <si>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</si>
  <si>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</si>
  <si>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</si>
  <si>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</si>
  <si>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</si>
  <si>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</si>
  <si>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</si>
  <si>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</si>
  <si>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</si>
  <si>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</si>
  <si>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</si>
  <si>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</si>
  <si>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</si>
  <si>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</si>
  <si>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</si>
  <si>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</si>
  <si>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</si>
  <si>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</si>
  <si>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</si>
  <si>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</si>
  <si>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</si>
  <si>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</si>
  <si>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</si>
  <si>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</si>
  <si>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</si>
  <si>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</si>
  <si>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</si>
  <si>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</si>
  <si>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</si>
  <si>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</si>
  <si>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</si>
  <si>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</si>
  <si>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</si>
  <si>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</si>
  <si>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</si>
  <si>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</si>
  <si>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</si>
  <si>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</si>
  <si>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</si>
  <si>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</si>
  <si>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</si>
  <si>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</si>
  <si>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</si>
  <si>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</si>
  <si>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</si>
  <si>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</si>
  <si>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</si>
  <si>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</si>
  <si>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</si>
  <si>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</si>
  <si>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</si>
  <si>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</si>
  <si>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</si>
  <si>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</si>
  <si>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</si>
  <si>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</si>
  <si>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</si>
  <si>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</si>
  <si>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</si>
  <si>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</si>
  <si>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</si>
  <si>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</si>
  <si>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</si>
  <si>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</si>
  <si>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</si>
  <si>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</si>
  <si>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</si>
  <si>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</si>
  <si>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</si>
  <si>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</si>
  <si>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</si>
  <si>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</si>
  <si>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</si>
  <si>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</si>
  <si>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</si>
  <si>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</si>
  <si>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</si>
  <si>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</si>
  <si>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</si>
  <si>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</si>
  <si>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</si>
  <si>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</si>
  <si>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</si>
  <si>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</si>
  <si>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</si>
  <si>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</si>
  <si>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</si>
  <si>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</si>
  <si>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</si>
  <si>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</si>
  <si>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</si>
  <si>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</si>
  <si>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</si>
  <si>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</si>
  <si>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</si>
  <si>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</si>
  <si>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</si>
  <si>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</si>
  <si>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</si>
  <si>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</si>
  <si>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</si>
  <si>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</si>
  <si>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</si>
  <si>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</si>
  <si>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</si>
  <si>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</si>
  <si>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</si>
  <si>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</si>
  <si>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</si>
  <si>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</si>
  <si>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</si>
  <si>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</si>
  <si>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</si>
  <si>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</si>
  <si>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</si>
  <si>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</si>
  <si>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</si>
  <si>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</si>
  <si>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</si>
  <si>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</si>
  <si>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</si>
  <si>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</si>
  <si>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</si>
  <si>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</si>
  <si>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</si>
  <si>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</si>
  <si>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</si>
  <si>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</si>
  <si>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</si>
  <si>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</si>
  <si>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</si>
  <si>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</si>
  <si>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</si>
  <si>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</si>
  <si>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</si>
  <si>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</si>
  <si>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</si>
  <si>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</si>
  <si>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</si>
  <si>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</si>
  <si>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</si>
  <si>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</si>
  <si>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</si>
  <si>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</si>
  <si>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</si>
  <si>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</si>
  <si>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</si>
  <si>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</si>
  <si>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</si>
  <si>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</si>
  <si>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</si>
  <si>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</si>
  <si>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</si>
  <si>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</si>
  <si>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</si>
  <si>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</si>
  <si>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</si>
  <si>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</si>
  <si>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</si>
  <si>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</si>
  <si>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</si>
  <si>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</si>
  <si>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</si>
  <si>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</si>
  <si>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</si>
  <si>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</si>
  <si>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</si>
  <si>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</si>
  <si>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</si>
  <si>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</si>
  <si>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</si>
  <si>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</si>
  <si>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</si>
  <si>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</si>
  <si>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</si>
  <si>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</si>
  <si>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</si>
  <si>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</si>
  <si>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</si>
  <si>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</si>
  <si>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</si>
  <si>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</si>
  <si>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</si>
  <si>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</si>
  <si>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</si>
  <si>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</si>
  <si>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</si>
  <si>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</si>
  <si>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</si>
  <si>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</si>
  <si>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</si>
  <si>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</si>
  <si>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</si>
  <si>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</si>
  <si>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</si>
  <si>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</si>
  <si>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</si>
  <si>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</si>
  <si>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</si>
  <si>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</si>
  <si>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</si>
  <si>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</si>
  <si>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</si>
  <si>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</si>
  <si>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</si>
  <si>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</si>
  <si>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</si>
  <si>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</si>
  <si>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</si>
  <si>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</si>
  <si>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</si>
  <si>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</si>
  <si>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</si>
  <si>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</si>
  <si>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</si>
  <si>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</si>
  <si>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</si>
  <si>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</si>
  <si>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</si>
  <si>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</si>
  <si>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</si>
  <si>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</si>
  <si>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</si>
  <si>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</si>
  <si>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</si>
  <si>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</si>
  <si>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</si>
  <si>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</si>
  <si>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</si>
  <si>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</si>
  <si>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</si>
  <si>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</si>
  <si>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</si>
  <si>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</si>
  <si>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</si>
  <si>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</si>
  <si>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</si>
  <si>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</si>
  <si>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</si>
  <si>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</si>
  <si>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</si>
  <si>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</si>
  <si>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</si>
  <si>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</si>
  <si>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</si>
  <si>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</si>
  <si>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</si>
  <si>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</si>
  <si>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</si>
  <si>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</si>
  <si>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</si>
  <si>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</si>
  <si>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</si>
  <si>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</si>
  <si>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</si>
  <si>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</si>
  <si>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</si>
  <si>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</si>
  <si>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</si>
  <si>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</si>
  <si>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</si>
  <si>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</si>
  <si>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</si>
  <si>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</si>
  <si>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</si>
  <si>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</si>
  <si>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</si>
  <si>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</si>
  <si>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</si>
  <si>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</si>
  <si>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</si>
  <si>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</si>
  <si>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</si>
  <si>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</si>
  <si>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</si>
  <si>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</si>
  <si>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</si>
  <si>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</si>
  <si>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</si>
  <si>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</si>
  <si>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</si>
  <si>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</si>
  <si>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</si>
  <si>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</si>
  <si>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</si>
  <si>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</si>
  <si>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</si>
  <si>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</si>
  <si>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</si>
  <si>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</si>
  <si>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</si>
  <si>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</si>
  <si>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</si>
  <si>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</si>
  <si>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</si>
  <si>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</si>
  <si>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</si>
  <si>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</si>
  <si>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</si>
  <si>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</si>
  <si>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</si>
  <si>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</si>
  <si>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</si>
  <si>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</si>
  <si>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</si>
  <si>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</si>
  <si>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</si>
  <si>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</si>
  <si>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</si>
  <si>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</si>
  <si>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</si>
  <si>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</si>
  <si>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</si>
  <si>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</si>
  <si>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</si>
  <si>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</si>
  <si>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</si>
  <si>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</si>
  <si>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</si>
  <si>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</si>
  <si>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</si>
  <si>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</si>
  <si>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</si>
  <si>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</si>
  <si>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</si>
  <si>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</si>
  <si>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</si>
  <si>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</si>
  <si>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</si>
  <si>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</si>
  <si>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</si>
  <si>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</si>
  <si>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</si>
  <si>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</si>
  <si>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</si>
  <si>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</si>
  <si>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</si>
  <si>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</si>
  <si>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</si>
  <si>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</si>
  <si>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</si>
  <si>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</si>
  <si>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</si>
  <si>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</si>
  <si>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</si>
  <si>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</si>
  <si>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</si>
  <si>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</si>
  <si>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</si>
  <si>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</si>
  <si>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</si>
  <si>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</si>
  <si>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</si>
  <si>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</si>
  <si>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</si>
  <si>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</si>
  <si>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</si>
  <si>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</si>
  <si>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</si>
  <si>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</si>
  <si>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</si>
  <si>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</si>
  <si>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</si>
  <si>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</si>
  <si>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</si>
  <si>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</si>
  <si>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</si>
  <si>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</si>
  <si>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</si>
  <si>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</si>
  <si>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</si>
  <si>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</si>
  <si>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</si>
  <si>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</si>
  <si>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</si>
  <si>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</si>
  <si>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</si>
  <si>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</si>
  <si>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</si>
  <si>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</si>
  <si>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</si>
  <si>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</si>
  <si>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</si>
  <si>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</si>
  <si>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</si>
  <si>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</si>
  <si>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</si>
  <si>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</si>
  <si>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</si>
  <si>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</si>
  <si>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</si>
  <si>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</si>
  <si>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</si>
  <si>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</si>
  <si>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</si>
  <si>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</si>
  <si>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</si>
  <si>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</si>
  <si>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</si>
  <si>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</si>
  <si>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</si>
  <si>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</si>
  <si>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</si>
  <si>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</si>
  <si>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</si>
  <si>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</si>
  <si>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</si>
  <si>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</si>
  <si>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</si>
  <si>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</si>
  <si>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</si>
  <si>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</si>
  <si>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</si>
  <si>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</si>
  <si>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</si>
  <si>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</si>
  <si>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</si>
  <si>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</si>
  <si>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</si>
  <si>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</si>
  <si>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</si>
  <si>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</si>
  <si>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</si>
  <si>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</si>
  <si>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</si>
  <si>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</si>
  <si>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</si>
  <si>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</si>
  <si>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</si>
  <si>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</si>
  <si>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</si>
  <si>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</si>
  <si>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</si>
  <si>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</si>
  <si>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</si>
  <si>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</si>
  <si>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</si>
  <si>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</si>
  <si>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</si>
  <si>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</si>
  <si>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</si>
  <si>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</si>
  <si>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</si>
  <si>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</si>
  <si>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</si>
  <si>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</si>
  <si>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</si>
  <si>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</si>
  <si>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</si>
  <si>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</si>
  <si>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</si>
  <si>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</si>
  <si>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</si>
  <si>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</si>
  <si>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</si>
  <si>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</si>
  <si>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</si>
  <si>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</si>
  <si>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</si>
  <si>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</si>
  <si>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</si>
  <si>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</si>
  <si>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</si>
  <si>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</si>
  <si>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</si>
  <si>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</si>
  <si>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</si>
  <si>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</si>
  <si>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</si>
  <si>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</si>
  <si>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</si>
  <si>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</si>
  <si>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</si>
  <si>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</si>
  <si>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</si>
  <si>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</si>
  <si>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</si>
  <si>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</si>
  <si>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</si>
  <si>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</si>
  <si>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</si>
  <si>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</si>
  <si>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</si>
  <si>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</si>
  <si>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</si>
  <si>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</si>
  <si>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</si>
  <si>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</si>
  <si>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</si>
  <si>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</si>
  <si>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</si>
  <si>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</si>
  <si>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</si>
  <si>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</si>
  <si>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</si>
  <si>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</si>
  <si>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</si>
  <si>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</si>
  <si>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</si>
  <si>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</si>
  <si>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</si>
  <si>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</si>
  <si>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</si>
  <si>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</si>
  <si>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</si>
  <si>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</si>
  <si>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</si>
  <si>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</si>
  <si>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</si>
  <si>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</si>
  <si>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</si>
  <si>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</si>
  <si>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</si>
  <si>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</si>
  <si>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</si>
  <si>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</si>
  <si>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</si>
  <si>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</si>
  <si>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</si>
  <si>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</si>
  <si>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</si>
  <si>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</si>
  <si>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</si>
  <si>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</si>
  <si>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</si>
  <si>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</si>
  <si>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</si>
  <si>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</si>
  <si>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</si>
  <si>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</si>
  <si>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</si>
  <si>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</si>
  <si>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</si>
  <si>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</si>
  <si>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</si>
  <si>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</si>
  <si>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</si>
  <si>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</si>
  <si>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</si>
  <si>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</si>
  <si>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</si>
  <si>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</si>
  <si>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</si>
  <si>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</si>
  <si>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</si>
  <si>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</si>
  <si>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</si>
  <si>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</si>
  <si>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</si>
  <si>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</si>
  <si>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</si>
  <si>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</si>
  <si>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</si>
  <si>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</si>
  <si>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</si>
  <si>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</si>
  <si>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</si>
  <si>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</si>
  <si>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</si>
  <si>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</si>
  <si>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</si>
  <si>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</si>
  <si>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</si>
  <si>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</si>
  <si>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</si>
  <si>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</si>
  <si>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</si>
  <si>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</si>
  <si>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</si>
  <si>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</si>
  <si>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</si>
  <si>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</si>
  <si>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</si>
  <si>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</si>
  <si>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</si>
  <si>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</si>
  <si>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</si>
  <si>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</si>
  <si>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</si>
  <si>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</si>
  <si>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</si>
  <si>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</si>
  <si>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</si>
  <si>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</si>
  <si>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</si>
  <si>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</si>
  <si>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</si>
  <si>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</si>
  <si>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</si>
  <si>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</si>
  <si>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</si>
  <si>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</si>
  <si>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</si>
  <si>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</si>
  <si>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</si>
  <si>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</si>
  <si>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</si>
  <si>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</si>
  <si>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</si>
  <si>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</si>
  <si>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</si>
  <si>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</si>
  <si>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</si>
  <si>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</si>
  <si>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</si>
  <si>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</si>
  <si>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</si>
  <si>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</si>
  <si>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</si>
  <si>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</si>
  <si>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</si>
  <si>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</si>
  <si>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</si>
  <si>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</si>
  <si>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</si>
  <si>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</si>
  <si>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</si>
  <si>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</si>
  <si>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</si>
  <si>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</si>
  <si>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</si>
  <si>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</si>
  <si>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</si>
  <si>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</si>
  <si>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</si>
  <si>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</si>
  <si>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</si>
  <si>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</si>
  <si>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</si>
  <si>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</si>
  <si>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</si>
  <si>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</si>
  <si>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</si>
  <si>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</si>
  <si>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</si>
  <si>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</si>
  <si>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</si>
  <si>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</si>
  <si>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</si>
  <si>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</si>
  <si>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</si>
  <si>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</si>
  <si>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</si>
  <si>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</si>
  <si>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</si>
  <si>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</si>
  <si>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</si>
  <si>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</si>
  <si>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</si>
  <si>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</si>
  <si>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</si>
  <si>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</si>
  <si>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</si>
  <si>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</si>
  <si>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</si>
  <si>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</si>
  <si>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</si>
  <si>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</si>
  <si>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</si>
  <si>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</si>
  <si>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</si>
  <si>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</si>
  <si>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</si>
  <si>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</si>
  <si>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</si>
  <si>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</si>
  <si>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</si>
  <si>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</si>
  <si>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</si>
  <si>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</si>
  <si>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</si>
  <si>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</si>
  <si>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</si>
  <si>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</si>
  <si>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</si>
  <si>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</si>
  <si>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</si>
  <si>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</si>
  <si>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</si>
  <si>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</si>
  <si>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</si>
  <si>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</si>
  <si>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</si>
  <si>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</si>
  <si>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</si>
  <si>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</si>
  <si>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</si>
  <si>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</si>
  <si>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</si>
  <si>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</si>
  <si>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</si>
  <si>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</si>
  <si>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</si>
  <si>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</si>
  <si>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</si>
  <si>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</si>
  <si>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</si>
  <si>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</si>
  <si>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</si>
  <si>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</si>
  <si>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</si>
  <si>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</si>
  <si>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</si>
  <si>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</si>
  <si>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</si>
  <si>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</si>
  <si>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</si>
  <si>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</si>
  <si>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</si>
  <si>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</si>
  <si>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</si>
  <si>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</si>
  <si>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</si>
  <si>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</si>
  <si>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</si>
  <si>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</si>
  <si>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</si>
  <si>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</si>
  <si>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</si>
  <si>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</si>
  <si>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</si>
  <si>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</si>
  <si>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</si>
  <si>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</si>
  <si>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</si>
  <si>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</si>
  <si>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</si>
  <si>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</si>
  <si>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</si>
  <si>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</si>
  <si>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</si>
  <si>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</si>
  <si>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</si>
  <si>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</si>
  <si>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</si>
  <si>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</si>
  <si>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</si>
  <si>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</si>
  <si>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</si>
  <si>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</si>
  <si>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</si>
  <si>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</si>
  <si>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</si>
  <si>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</si>
  <si>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</si>
  <si>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</si>
  <si>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</si>
  <si>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</si>
  <si>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</si>
  <si>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</si>
  <si>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</si>
  <si>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</si>
  <si>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</si>
  <si>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</si>
  <si>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</si>
  <si>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</si>
  <si>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</si>
  <si>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</si>
  <si>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</si>
  <si>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</si>
  <si>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</si>
  <si>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</si>
  <si>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</si>
  <si>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</si>
  <si>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</si>
  <si>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</si>
  <si>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</si>
  <si>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</si>
  <si>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</si>
  <si>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</si>
  <si>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</si>
  <si>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</si>
  <si>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</si>
  <si>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</si>
  <si>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</si>
  <si>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</si>
  <si>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</si>
  <si>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</si>
  <si>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</si>
  <si>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</si>
  <si>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</si>
  <si>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</si>
  <si>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</si>
  <si>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</si>
  <si>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</si>
  <si>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</si>
  <si>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</si>
  <si>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</si>
  <si>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</si>
  <si>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</si>
  <si>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</si>
  <si>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</si>
  <si>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</si>
  <si>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</si>
  <si>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</si>
  <si>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</si>
  <si>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</si>
  <si>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</si>
  <si>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</si>
  <si>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</si>
  <si>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</si>
  <si>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</si>
  <si>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</si>
  <si>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</si>
  <si>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</si>
  <si>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</si>
  <si>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</si>
  <si>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</si>
  <si>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</si>
  <si>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</si>
  <si>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</si>
  <si>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</si>
  <si>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</si>
  <si>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</si>
  <si>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</si>
  <si>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</si>
  <si>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</si>
  <si>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</si>
  <si>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</si>
  <si>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</si>
  <si>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</si>
  <si>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</si>
  <si>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</si>
  <si>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</si>
  <si>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</si>
  <si>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</si>
  <si>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</si>
  <si>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</si>
  <si>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</si>
  <si>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</si>
  <si>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</si>
  <si>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</si>
  <si>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</si>
  <si>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</si>
  <si>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</si>
  <si>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</si>
  <si>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</si>
  <si>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</si>
  <si>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</si>
  <si>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</si>
  <si>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</si>
  <si>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</si>
  <si>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</si>
  <si>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</si>
  <si>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</si>
  <si>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</si>
  <si>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</si>
  <si>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</si>
  <si>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</si>
  <si>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</si>
  <si>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</si>
  <si>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</si>
  <si>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</si>
  <si>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</si>
  <si>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</si>
  <si>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</si>
  <si>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</si>
  <si>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</si>
  <si>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</si>
  <si>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</si>
  <si>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</si>
  <si>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</si>
  <si>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</si>
  <si>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</si>
  <si>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</si>
  <si>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</si>
  <si>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</si>
  <si>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</si>
  <si>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</si>
  <si>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</si>
  <si>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</si>
  <si>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</si>
  <si>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</si>
  <si>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</si>
  <si>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</si>
  <si>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</si>
  <si>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</si>
  <si>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</si>
  <si>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</si>
  <si>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</si>
  <si>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</si>
  <si>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</si>
  <si>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</si>
  <si>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</si>
  <si>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</si>
  <si>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</si>
  <si>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</si>
  <si>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</si>
  <si>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</si>
  <si>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</si>
  <si>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</si>
  <si>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</si>
  <si>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</si>
  <si>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</si>
  <si>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</si>
  <si>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</si>
  <si>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</si>
  <si>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</si>
  <si>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</si>
  <si>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</si>
  <si>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</si>
  <si>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</si>
  <si>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</si>
  <si>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</si>
  <si>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</si>
  <si>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</si>
  <si>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</si>
  <si>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</si>
  <si>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</si>
  <si>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</si>
  <si>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</si>
  <si>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</si>
  <si>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</si>
  <si>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</si>
  <si>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</si>
  <si>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</si>
  <si>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</si>
  <si>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</si>
  <si>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</si>
  <si>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</si>
  <si>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</si>
  <si>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</si>
  <si>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</si>
  <si>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</si>
  <si>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</si>
  <si>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</si>
  <si>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</si>
  <si>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</si>
  <si>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</si>
  <si>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</si>
  <si>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</si>
  <si>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</si>
  <si>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</si>
  <si>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</si>
  <si>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</si>
  <si>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</si>
  <si>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</si>
  <si>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</si>
  <si>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</si>
  <si>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</si>
  <si>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</si>
  <si>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</si>
  <si>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</si>
  <si>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</si>
  <si>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</si>
  <si>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</si>
  <si>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</si>
  <si>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</si>
  <si>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</si>
  <si>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</si>
  <si>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</si>
  <si>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</si>
  <si>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</si>
  <si>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</si>
  <si>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</si>
  <si>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</si>
  <si>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</si>
  <si>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</si>
  <si>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</si>
  <si>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</si>
  <si>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</si>
  <si>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</si>
  <si>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</si>
  <si>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</si>
  <si>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</si>
  <si>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</si>
  <si>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</si>
  <si>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</si>
  <si>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</si>
  <si>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</si>
  <si>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</si>
  <si>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</si>
  <si>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</si>
  <si>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</si>
  <si>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</si>
  <si>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</si>
  <si>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</si>
  <si>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</si>
  <si>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</si>
  <si>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</si>
  <si>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</si>
  <si>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</si>
  <si>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</si>
  <si>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</si>
  <si>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</si>
  <si>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</si>
  <si>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</si>
  <si>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</si>
  <si>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</si>
  <si>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</si>
  <si>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</si>
  <si>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</si>
  <si>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</si>
  <si>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</si>
  <si>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</si>
  <si>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</si>
  <si>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</si>
  <si>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</si>
  <si>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</si>
  <si>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</si>
  <si>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</si>
  <si>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</si>
  <si>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</si>
  <si>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</si>
  <si>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</si>
  <si>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</si>
  <si>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</si>
  <si>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</si>
  <si>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</si>
  <si>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</si>
  <si>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</si>
  <si>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</si>
  <si>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</si>
  <si>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</si>
  <si>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</si>
  <si>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</si>
  <si>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</si>
  <si>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</si>
  <si>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</si>
  <si>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</si>
  <si>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</si>
  <si>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</si>
  <si>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</si>
  <si>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</si>
  <si>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</si>
  <si>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</si>
  <si>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</si>
  <si>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</si>
  <si>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</si>
  <si>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</si>
  <si>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</si>
  <si>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</si>
  <si>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</si>
  <si>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</si>
  <si>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</si>
  <si>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</si>
  <si>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</si>
  <si>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</si>
  <si>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</si>
  <si>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</si>
  <si>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</si>
  <si>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</si>
  <si>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</si>
  <si>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</si>
  <si>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</si>
  <si>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</si>
  <si>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</si>
  <si>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</si>
  <si>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</si>
  <si>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</si>
  <si>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</si>
  <si>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</si>
  <si>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</si>
  <si>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</si>
  <si>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</si>
  <si>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</si>
  <si>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</si>
  <si>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</si>
  <si>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</si>
  <si>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</si>
  <si>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</si>
  <si>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</si>
  <si>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</si>
  <si>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</si>
  <si>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</si>
  <si>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</si>
  <si>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</si>
  <si>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</si>
  <si>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</si>
  <si>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</si>
  <si>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</si>
  <si>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</si>
  <si>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</si>
  <si>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</si>
  <si>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</si>
  <si>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</si>
  <si>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</si>
  <si>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</si>
  <si>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</si>
  <si>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</si>
  <si>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</si>
  <si>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</si>
  <si>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</si>
  <si>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</si>
  <si>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</si>
  <si>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</si>
  <si>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</si>
  <si>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</si>
  <si>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</si>
  <si>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</si>
  <si>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</si>
  <si>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</si>
  <si>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</si>
  <si>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</si>
  <si>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</si>
  <si>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</si>
  <si>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</si>
  <si>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</si>
  <si>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</si>
  <si>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</si>
  <si>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</si>
  <si>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</si>
  <si>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</si>
  <si>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</si>
  <si>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</si>
  <si>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</si>
  <si>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</si>
  <si>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</si>
  <si>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</si>
  <si>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</si>
  <si>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</si>
  <si>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</si>
  <si>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</si>
  <si>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</si>
  <si>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</si>
  <si>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</si>
  <si>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</si>
  <si>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</si>
  <si>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</si>
  <si>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</si>
  <si>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</si>
  <si>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</si>
  <si>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</si>
  <si>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</si>
  <si>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</si>
  <si>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</si>
  <si>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</si>
  <si>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</si>
  <si>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</si>
  <si>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</si>
  <si>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</si>
  <si>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</si>
  <si>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</si>
  <si>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</si>
  <si>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</si>
  <si>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</si>
  <si>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</si>
  <si>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</si>
  <si>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</si>
  <si>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</si>
  <si>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</si>
  <si>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</si>
  <si>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</si>
  <si>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</si>
  <si>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</si>
  <si>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</si>
  <si>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</si>
  <si>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</si>
  <si>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</si>
  <si>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</si>
  <si>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</si>
  <si>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</si>
  <si>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</si>
  <si>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</si>
  <si>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</si>
  <si>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</si>
  <si>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</si>
  <si>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</si>
  <si>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</si>
  <si>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</si>
  <si>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</si>
  <si>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</si>
  <si>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</si>
  <si>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</si>
  <si>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</si>
  <si>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</si>
  <si>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</si>
  <si>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</si>
  <si>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</si>
  <si>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</si>
  <si>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</si>
  <si>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</si>
  <si>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</si>
  <si>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</si>
  <si>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</si>
  <si>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</si>
  <si>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</si>
  <si>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</si>
  <si>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</si>
  <si>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</si>
  <si>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</si>
  <si>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</si>
  <si>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</si>
  <si>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</si>
  <si>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</si>
  <si>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</si>
  <si>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</si>
  <si>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</si>
  <si>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</si>
  <si>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</si>
  <si>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</si>
  <si>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</si>
  <si>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</si>
  <si>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</si>
  <si>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</si>
  <si>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</si>
  <si>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</si>
  <si>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</si>
  <si>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</si>
  <si>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</si>
  <si>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</si>
  <si>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</si>
  <si>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</si>
  <si>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</si>
  <si>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</si>
  <si>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</si>
  <si>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</si>
  <si>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</si>
  <si>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</si>
  <si>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</si>
  <si>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</si>
  <si>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</si>
  <si>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</si>
  <si>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</si>
  <si>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</si>
  <si>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</si>
  <si>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</si>
  <si>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</si>
  <si>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</si>
  <si>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</si>
  <si>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</si>
  <si>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</si>
  <si>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</si>
  <si>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</si>
  <si>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</si>
  <si>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</si>
  <si>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</si>
  <si>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</si>
  <si>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</si>
  <si>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</si>
  <si>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</si>
  <si>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</si>
  <si>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</si>
  <si>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</si>
  <si>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</si>
  <si>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</si>
  <si>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</si>
  <si>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</si>
  <si>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</si>
  <si>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</si>
  <si>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</si>
  <si>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</si>
  <si>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</si>
  <si>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</si>
  <si>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</si>
  <si>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</si>
  <si>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</si>
  <si>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</si>
  <si>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</si>
  <si>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</si>
  <si>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</si>
  <si>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</si>
  <si>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</si>
  <si>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</si>
  <si>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</si>
  <si>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</si>
  <si>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</si>
  <si>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</si>
  <si>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</si>
  <si>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</si>
  <si>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</si>
  <si>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</si>
  <si>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</si>
  <si>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</si>
  <si>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</si>
  <si>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</si>
  <si>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</si>
  <si>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</si>
  <si>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</si>
  <si>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</si>
  <si>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</si>
  <si>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</si>
  <si>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</si>
  <si>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</si>
  <si>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</si>
  <si>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</si>
  <si>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</si>
  <si>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</si>
  <si>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</si>
  <si>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</si>
  <si>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</si>
  <si>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</si>
  <si>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</si>
  <si>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</si>
  <si>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</si>
  <si>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</si>
  <si>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</si>
  <si>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</si>
  <si>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</si>
  <si>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</si>
  <si>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</si>
  <si>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</si>
  <si>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</si>
  <si>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</si>
  <si>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</si>
  <si>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</si>
  <si>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</si>
  <si>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</si>
  <si>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</si>
  <si>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</si>
  <si>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</si>
  <si>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</si>
  <si>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</si>
  <si>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</si>
  <si>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</si>
  <si>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</si>
  <si>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</si>
  <si>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</si>
  <si>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</si>
  <si>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</si>
  <si>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</si>
  <si>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</si>
  <si>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</si>
  <si>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</si>
  <si>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</si>
  <si>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</si>
  <si>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</si>
  <si>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</si>
  <si>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</si>
  <si>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</si>
  <si>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</si>
  <si>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</si>
  <si>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</si>
  <si>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</si>
  <si>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</si>
  <si>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</si>
  <si>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</si>
  <si>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</si>
  <si>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</si>
  <si>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</si>
  <si>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</si>
  <si>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</si>
  <si>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</si>
  <si>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</si>
  <si>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</si>
  <si>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</si>
  <si>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</si>
  <si>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</si>
  <si>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</si>
  <si>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</si>
  <si>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</si>
  <si>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</si>
  <si>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</si>
  <si>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</si>
  <si>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</si>
  <si>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</si>
  <si>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</si>
  <si>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</si>
  <si>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</si>
  <si>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</si>
  <si>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</si>
  <si>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</si>
  <si>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</si>
  <si>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</si>
  <si>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</si>
  <si>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</si>
  <si>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</si>
  <si>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</si>
  <si>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</si>
  <si>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</si>
  <si>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</si>
  <si>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</si>
  <si>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</si>
  <si>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</si>
  <si>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</si>
  <si>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</si>
  <si>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</si>
  <si>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</si>
  <si>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</si>
  <si>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</si>
  <si>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</si>
  <si>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</si>
  <si>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</si>
  <si>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</si>
  <si>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</si>
  <si>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</si>
  <si>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</si>
  <si>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</si>
  <si>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</si>
  <si>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</si>
  <si>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</si>
  <si>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</si>
  <si>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</si>
  <si>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</si>
  <si>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</si>
  <si>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</si>
  <si>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</si>
  <si>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</si>
  <si>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</si>
  <si>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</si>
  <si>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</si>
  <si>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</si>
  <si>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</si>
  <si>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</si>
  <si>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</si>
  <si>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</si>
  <si>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</si>
  <si>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</si>
  <si>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</si>
  <si>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</si>
  <si>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</si>
  <si>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</si>
  <si>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</si>
  <si>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</si>
  <si>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</si>
  <si>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</si>
  <si>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</si>
  <si>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</si>
  <si>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</si>
  <si>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</si>
  <si>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</si>
  <si>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</si>
  <si>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</si>
  <si>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</si>
  <si>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</si>
  <si>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</si>
  <si>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</si>
  <si>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</si>
  <si>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</si>
  <si>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</si>
  <si>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</si>
  <si>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</si>
  <si>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</si>
  <si>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</si>
  <si>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</si>
  <si>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</si>
  <si>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</si>
  <si>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</si>
  <si>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</si>
  <si>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</si>
  <si>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</si>
  <si>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</si>
  <si>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</si>
  <si>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</si>
  <si>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</si>
  <si>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</si>
  <si>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</si>
  <si>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</si>
  <si>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</si>
  <si>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</si>
  <si>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</si>
  <si>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</si>
  <si>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</si>
  <si>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</si>
  <si>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</si>
  <si>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</si>
  <si>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</si>
  <si>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</si>
  <si>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</si>
  <si>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</si>
  <si>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</si>
  <si>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</si>
  <si>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</si>
  <si>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</si>
  <si>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</si>
  <si>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</si>
  <si>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</si>
  <si>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</si>
  <si>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</si>
  <si>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</si>
  <si>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</si>
  <si>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</si>
  <si>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</si>
  <si>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</si>
  <si>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</si>
  <si>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</si>
  <si>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</si>
  <si>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</si>
  <si>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</si>
  <si>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</si>
  <si>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</si>
  <si>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</si>
  <si>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</si>
  <si>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</si>
  <si>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</si>
  <si>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</si>
  <si>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</si>
  <si>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</si>
  <si>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</si>
  <si>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</si>
  <si>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</si>
  <si>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</si>
  <si>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</si>
  <si>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</si>
  <si>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</si>
  <si>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</si>
  <si>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</si>
  <si>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</si>
  <si>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</si>
  <si>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</si>
  <si>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</si>
  <si>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</si>
  <si>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</si>
  <si>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</si>
  <si>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</si>
  <si>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</si>
  <si>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</si>
  <si>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</si>
  <si>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</si>
  <si>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</si>
  <si>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</si>
  <si>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</si>
  <si>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</si>
  <si>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</si>
  <si>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</si>
  <si>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</si>
  <si>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</si>
  <si>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</si>
  <si>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</si>
  <si>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</si>
  <si>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</si>
  <si>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</si>
  <si>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</si>
  <si>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</si>
  <si>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</si>
  <si>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</si>
  <si>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</si>
  <si>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</si>
  <si>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</si>
  <si>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</si>
  <si>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</si>
  <si>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</si>
  <si>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</si>
  <si>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</si>
  <si>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</si>
  <si>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</si>
  <si>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</si>
  <si>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</si>
  <si>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</si>
  <si>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</si>
  <si>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</si>
  <si>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</si>
  <si>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</si>
  <si>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</si>
  <si>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</si>
  <si>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</si>
  <si>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</si>
  <si>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</si>
  <si>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</si>
  <si>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</si>
  <si>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</si>
  <si>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</si>
  <si>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</si>
  <si>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</si>
  <si>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</si>
  <si>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</si>
  <si>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</si>
  <si>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</si>
  <si>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</si>
  <si>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</si>
  <si>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</si>
  <si>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</si>
  <si>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</si>
  <si>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</si>
  <si>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</si>
  <si>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</si>
  <si>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</si>
  <si>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</si>
  <si>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</si>
  <si>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</si>
  <si>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</si>
  <si>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</si>
  <si>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</si>
  <si>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</si>
  <si>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</si>
  <si>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</si>
  <si>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</si>
  <si>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</si>
  <si>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</si>
  <si>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</si>
  <si>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</si>
  <si>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</si>
  <si>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</si>
  <si>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</si>
  <si>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</si>
  <si>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</si>
  <si>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</si>
  <si>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</si>
  <si>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</si>
  <si>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</si>
  <si>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</si>
  <si>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</si>
  <si>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</si>
  <si>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</si>
  <si>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</si>
  <si>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</si>
  <si>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</si>
  <si>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</si>
  <si>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</si>
  <si>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</si>
  <si>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</si>
  <si>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</si>
  <si>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</si>
  <si>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</si>
  <si>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</si>
  <si>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</si>
  <si>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</si>
  <si>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</si>
  <si>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</si>
  <si>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</si>
  <si>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</si>
  <si>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</si>
  <si>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</si>
  <si>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</si>
  <si>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</si>
  <si>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</si>
  <si>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</si>
  <si>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</si>
  <si>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</si>
  <si>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</si>
  <si>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</si>
  <si>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</si>
  <si>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</si>
  <si>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</si>
  <si>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</si>
  <si>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</si>
  <si>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</si>
  <si>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</si>
  <si>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</si>
  <si>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</si>
  <si>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</si>
  <si>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</si>
  <si>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</si>
  <si>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</si>
  <si>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</si>
  <si>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</si>
  <si>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</si>
  <si>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</si>
  <si>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</si>
  <si>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</si>
  <si>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</si>
  <si>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</si>
  <si>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</si>
  <si>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</si>
  <si>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</si>
  <si>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</si>
  <si>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</si>
  <si>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</si>
  <si>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</si>
  <si>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</si>
  <si>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</si>
  <si>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</si>
  <si>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</si>
  <si>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</si>
  <si>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</si>
  <si>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</si>
  <si>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</si>
  <si>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</si>
  <si>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</si>
  <si>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</si>
  <si>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</si>
  <si>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</si>
  <si>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</si>
  <si>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</si>
  <si>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</si>
  <si>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</si>
  <si>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</si>
  <si>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</si>
  <si>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</si>
  <si>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</si>
  <si>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</si>
  <si>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</si>
  <si>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</si>
  <si>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</si>
  <si>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</si>
  <si>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</si>
  <si>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</si>
  <si>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</si>
  <si>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</si>
  <si>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</si>
  <si>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</si>
  <si>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</si>
  <si>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</si>
  <si>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</si>
  <si>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</si>
  <si>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</si>
  <si>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</si>
  <si>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</si>
  <si>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</si>
  <si>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</si>
  <si>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</si>
  <si>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</si>
  <si>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</si>
  <si>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</si>
  <si>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</si>
  <si>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</si>
  <si>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</si>
  <si>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</si>
  <si>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</si>
  <si>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</si>
  <si>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</si>
  <si>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</si>
  <si>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</si>
  <si>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</si>
  <si>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</si>
  <si>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</si>
  <si>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</si>
  <si>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</si>
  <si>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</si>
  <si>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</si>
  <si>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</si>
  <si>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</si>
  <si>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</si>
  <si>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</si>
  <si>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</si>
  <si>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</si>
  <si>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</si>
  <si>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</si>
  <si>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</si>
  <si>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</si>
  <si>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</si>
  <si>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</si>
  <si>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</si>
  <si>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</si>
  <si>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</si>
  <si>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</si>
  <si>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</si>
  <si>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</si>
  <si>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</si>
  <si>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</si>
  <si>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</si>
  <si>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</si>
  <si>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</si>
  <si>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</si>
  <si>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</si>
  <si>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</si>
  <si>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</si>
  <si>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</si>
  <si>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</si>
  <si>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</si>
  <si>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</si>
  <si>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</si>
  <si>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</si>
  <si>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</si>
  <si>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</si>
  <si>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</si>
  <si>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</si>
  <si>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</si>
  <si>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</si>
  <si>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</si>
  <si>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</si>
  <si>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</si>
  <si>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</si>
  <si>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</si>
  <si>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</si>
  <si>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</si>
  <si>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</si>
  <si>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</si>
  <si>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</si>
  <si>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</si>
  <si>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</si>
  <si>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</si>
  <si>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</si>
  <si>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</si>
  <si>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</si>
  <si>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</si>
  <si>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</si>
  <si>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</si>
  <si>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</si>
  <si>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</si>
  <si>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</si>
  <si>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</si>
  <si>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</si>
  <si>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</si>
  <si>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</si>
  <si>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</si>
  <si>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</si>
  <si>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</si>
  <si>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</si>
  <si>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</si>
  <si>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</si>
  <si>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</si>
  <si>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</si>
  <si>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</si>
  <si>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</si>
  <si>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</si>
  <si>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</si>
  <si>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</si>
  <si>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</si>
  <si>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</si>
  <si>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</si>
  <si>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</si>
  <si>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</si>
  <si>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</si>
  <si>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</si>
  <si>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</si>
  <si>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</si>
  <si>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</si>
  <si>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</si>
  <si>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</si>
  <si>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</si>
  <si>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</si>
  <si>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</si>
  <si>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</si>
  <si>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</si>
  <si>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</si>
  <si>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</si>
  <si>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</si>
  <si>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</si>
  <si>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</si>
  <si>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</si>
  <si>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</si>
  <si>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</si>
  <si>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</si>
  <si>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</si>
  <si>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</si>
  <si>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</si>
  <si>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</si>
  <si>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</si>
  <si>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</si>
  <si>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</si>
  <si>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</si>
  <si>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</si>
  <si>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</si>
  <si>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</si>
  <si>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</si>
  <si>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</si>
  <si>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</si>
  <si>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</si>
  <si>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</si>
  <si>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</si>
  <si>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</si>
  <si>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</si>
  <si>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</si>
  <si>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</si>
  <si>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</si>
  <si>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</si>
  <si>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</si>
  <si>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</si>
  <si>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</si>
  <si>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</si>
  <si>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</si>
  <si>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</si>
  <si>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</si>
  <si>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</si>
  <si>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</si>
  <si>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</si>
  <si>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</si>
  <si>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</si>
  <si>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</si>
  <si>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</si>
  <si>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</si>
  <si>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</si>
  <si>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</si>
  <si>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</si>
  <si>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</si>
  <si>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</si>
  <si>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</si>
  <si>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</si>
  <si>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</si>
  <si>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</si>
  <si>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</si>
  <si>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</si>
  <si>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</si>
  <si>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</si>
  <si>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</si>
  <si>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</si>
  <si>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</si>
  <si>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</si>
  <si>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</si>
  <si>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</si>
  <si>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</si>
  <si>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</si>
  <si>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</si>
  <si>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</si>
  <si>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</si>
  <si>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</si>
  <si>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</si>
  <si>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</si>
  <si>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</si>
  <si>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</si>
  <si>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</si>
  <si>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</si>
  <si>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</si>
  <si>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</si>
  <si>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</si>
  <si>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</si>
  <si>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</si>
  <si>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</si>
  <si>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</si>
  <si>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</si>
  <si>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</si>
  <si>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</si>
  <si>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</si>
  <si>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</si>
  <si>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</si>
  <si>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</si>
  <si>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</si>
  <si>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</si>
  <si>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</si>
  <si>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</si>
  <si>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</si>
  <si>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</si>
  <si>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</si>
  <si>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</si>
  <si>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</si>
  <si>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</si>
  <si>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</si>
  <si>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</si>
  <si>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</si>
  <si>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</si>
  <si>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</si>
  <si>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</si>
  <si>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</si>
  <si>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</si>
  <si>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</si>
  <si>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</si>
  <si>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</si>
  <si>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</si>
  <si>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</si>
  <si>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</si>
  <si>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</si>
  <si>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</si>
  <si>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</si>
  <si>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</si>
  <si>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</si>
  <si>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</si>
  <si>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</si>
  <si>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</si>
  <si>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</si>
  <si>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</si>
  <si>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</si>
  <si>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</si>
  <si>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</si>
  <si>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</si>
  <si>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</si>
  <si>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</si>
  <si>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</si>
  <si>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</si>
  <si>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</si>
  <si>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</si>
  <si>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</si>
  <si>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</si>
  <si>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</si>
  <si>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</si>
  <si>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</si>
  <si>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</si>
  <si>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</si>
  <si>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</si>
  <si>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</si>
  <si>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</si>
  <si>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</si>
  <si>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</si>
  <si>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</si>
  <si>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</si>
  <si>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</si>
  <si>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</si>
  <si>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</si>
  <si>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</si>
  <si>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</si>
  <si>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</si>
  <si>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</si>
  <si>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</si>
  <si>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</si>
  <si>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</si>
  <si>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</si>
  <si>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</si>
  <si>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</si>
  <si>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</si>
  <si>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</si>
  <si>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</si>
  <si>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</si>
  <si>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</si>
  <si>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</si>
  <si>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</si>
  <si>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</si>
  <si>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</si>
  <si>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</si>
  <si>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</si>
  <si>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</si>
  <si>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</si>
  <si>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</si>
  <si>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</si>
  <si>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</si>
  <si>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</si>
  <si>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</si>
  <si>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</si>
  <si>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</si>
  <si>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</si>
  <si>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</si>
  <si>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</si>
  <si>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</si>
  <si>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</si>
  <si>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</si>
  <si>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</si>
  <si>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</si>
  <si>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</si>
  <si>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</si>
  <si>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</si>
  <si>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</si>
  <si>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</si>
  <si>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</si>
  <si>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</si>
  <si>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</si>
  <si>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</si>
  <si>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</si>
  <si>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</si>
  <si>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</si>
  <si>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</si>
  <si>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</si>
  <si>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</si>
  <si>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</si>
  <si>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</si>
  <si>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</si>
  <si>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</si>
  <si>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</si>
  <si>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</si>
  <si>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</si>
  <si>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</si>
  <si>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</si>
  <si>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</si>
  <si>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</si>
  <si>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</si>
  <si>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</si>
  <si>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</si>
  <si>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</si>
  <si>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</si>
  <si>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</si>
  <si>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</si>
  <si>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</si>
  <si>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</si>
  <si>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</si>
  <si>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</si>
  <si>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</si>
  <si>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</si>
  <si>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</si>
  <si>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</si>
  <si>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</si>
  <si>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</si>
  <si>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</si>
  <si>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</si>
  <si>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</si>
  <si>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</si>
  <si>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</si>
  <si>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</si>
  <si>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</si>
  <si>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</si>
  <si>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</si>
  <si>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</si>
  <si>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</si>
  <si>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</si>
  <si>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</si>
  <si>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</si>
  <si>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</si>
  <si>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</si>
  <si>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</si>
  <si>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</si>
  <si>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</si>
  <si>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</si>
  <si>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</si>
  <si>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</si>
  <si>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</si>
  <si>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</si>
  <si>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</si>
  <si>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</si>
  <si>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</si>
  <si>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</si>
  <si>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</si>
  <si>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</si>
  <si>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</si>
  <si>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</si>
  <si>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</si>
  <si>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</si>
  <si>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</si>
  <si>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</si>
  <si>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</si>
  <si>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</si>
  <si>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</si>
  <si>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</si>
  <si>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</si>
  <si>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</si>
  <si>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</si>
  <si>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</si>
  <si>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</si>
  <si>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</si>
  <si>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</si>
  <si>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</si>
  <si>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</si>
  <si>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</si>
  <si>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</si>
  <si>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</si>
  <si>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</si>
  <si>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</si>
  <si>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</si>
  <si>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</si>
  <si>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</si>
  <si>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</si>
  <si>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</si>
  <si>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</si>
  <si>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</si>
  <si>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</si>
  <si>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</si>
  <si>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</si>
  <si>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</si>
  <si>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</si>
  <si>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</si>
  <si>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</si>
  <si>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</si>
  <si>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</si>
  <si>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</si>
  <si>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</si>
  <si>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</si>
  <si>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</si>
  <si>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</si>
  <si>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</si>
  <si>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</si>
  <si>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</si>
  <si>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</si>
  <si>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</si>
  <si>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</si>
  <si>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</si>
  <si>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</si>
  <si>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</si>
  <si>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</si>
  <si>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</si>
  <si>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</si>
  <si>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</si>
  <si>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</si>
  <si>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</si>
  <si>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</si>
  <si>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</si>
  <si>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</si>
  <si>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</si>
  <si>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</si>
  <si>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</si>
  <si>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</si>
  <si>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</si>
  <si>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</si>
  <si>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</si>
  <si>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</si>
  <si>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</si>
  <si>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</si>
  <si>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</si>
  <si>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</si>
  <si>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</si>
  <si>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</si>
  <si>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</si>
  <si>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</si>
  <si>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</si>
  <si>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</si>
  <si>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</si>
  <si>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</si>
  <si>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</si>
  <si>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</si>
  <si>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</si>
  <si>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</si>
  <si>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</si>
  <si>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</si>
  <si>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</si>
  <si>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</si>
  <si>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</si>
  <si>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</si>
  <si>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</si>
  <si>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</si>
  <si>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</si>
  <si>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</si>
  <si>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</si>
  <si>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</si>
  <si>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</si>
  <si>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</si>
  <si>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</si>
  <si>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</si>
  <si>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</si>
  <si>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</si>
  <si>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</si>
  <si>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</si>
  <si>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</si>
  <si>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</si>
  <si>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</si>
  <si>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</si>
  <si>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</si>
  <si>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</si>
  <si>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</si>
  <si>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</si>
  <si>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</si>
  <si>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</si>
  <si>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</si>
  <si>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</si>
  <si>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</si>
  <si>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</si>
  <si>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</si>
  <si>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</si>
  <si>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</si>
  <si>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</si>
  <si>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</si>
  <si>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</si>
  <si>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</si>
  <si>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</si>
  <si>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</si>
  <si>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</si>
  <si>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</si>
  <si>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</si>
  <si>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</si>
  <si>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</si>
  <si>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</si>
  <si>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</si>
  <si>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</si>
  <si>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</si>
  <si>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</si>
  <si>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</si>
  <si>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</si>
  <si>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</si>
  <si>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</si>
  <si>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</si>
  <si>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</si>
  <si>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</si>
  <si>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</si>
  <si>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</si>
  <si>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</si>
  <si>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</si>
  <si>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</si>
  <si>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</si>
  <si>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</si>
  <si>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</si>
  <si>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</si>
  <si>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</si>
  <si>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</si>
  <si>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</si>
  <si>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</si>
  <si>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</si>
  <si>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</si>
  <si>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</si>
  <si>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</si>
  <si>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</si>
  <si>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</si>
  <si>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</si>
  <si>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</si>
  <si>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</si>
  <si>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</si>
  <si>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</si>
  <si>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</si>
  <si>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</si>
  <si>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</si>
  <si>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</si>
  <si>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</si>
  <si>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</si>
  <si>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</si>
  <si>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</si>
  <si>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</si>
  <si>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</si>
  <si>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</si>
  <si>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</si>
  <si>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</si>
  <si>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</si>
  <si>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</si>
  <si>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</si>
  <si>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</si>
  <si>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</si>
  <si>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</si>
  <si>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</si>
  <si>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</si>
  <si>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</si>
  <si>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</si>
  <si>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</si>
  <si>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</si>
  <si>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</si>
  <si>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</si>
  <si>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</si>
  <si>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</si>
  <si>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</si>
  <si>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</si>
  <si>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</si>
  <si>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</si>
  <si>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</si>
  <si>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</si>
  <si>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</si>
  <si>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</si>
  <si>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</si>
  <si>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</si>
  <si>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</si>
  <si>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</si>
  <si>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</si>
  <si>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</si>
  <si>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</si>
  <si>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</si>
  <si>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</si>
  <si>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</si>
  <si>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</si>
  <si>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</si>
  <si>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</si>
  <si>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</si>
  <si>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</si>
  <si>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</si>
  <si>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</si>
  <si>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</si>
  <si>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</si>
  <si>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</si>
  <si>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</si>
  <si>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</si>
  <si>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</si>
  <si>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</si>
  <si>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</si>
  <si>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</si>
  <si>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</si>
  <si>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</si>
  <si>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</si>
  <si>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</si>
  <si>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</si>
  <si>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</si>
  <si>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</si>
  <si>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</si>
  <si>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</si>
  <si>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</si>
  <si>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</si>
  <si>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</si>
  <si>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</si>
  <si>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</si>
  <si>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</si>
  <si>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</si>
  <si>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</si>
  <si>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</si>
  <si>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</si>
  <si>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</si>
  <si>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</si>
  <si>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</si>
  <si>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</si>
  <si>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</si>
  <si>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</si>
  <si>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</si>
  <si>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</si>
  <si>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</si>
  <si>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</si>
  <si>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</si>
  <si>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</si>
  <si>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</si>
  <si>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</si>
  <si>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</si>
  <si>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</si>
  <si>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</si>
  <si>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</si>
  <si>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</si>
  <si>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</si>
  <si>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</si>
  <si>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</si>
  <si>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</si>
  <si>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</si>
  <si>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</si>
  <si>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</si>
  <si>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</si>
  <si>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</si>
  <si>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</si>
  <si>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</si>
  <si>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</si>
  <si>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</si>
  <si>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</si>
  <si>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</si>
  <si>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</si>
  <si>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</si>
  <si>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</si>
  <si>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</si>
  <si>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</si>
  <si>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</si>
  <si>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</si>
  <si>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</si>
  <si>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</si>
  <si>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</si>
  <si>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</si>
  <si>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</si>
  <si>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</si>
  <si>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</si>
  <si>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</si>
  <si>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</si>
  <si>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</si>
  <si>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</si>
  <si>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</si>
  <si>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</si>
  <si>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</si>
  <si>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</si>
  <si>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</si>
  <si>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</si>
  <si>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</si>
  <si>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</si>
  <si>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</si>
  <si>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</si>
  <si>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</si>
  <si>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</si>
  <si>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</si>
  <si>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</si>
  <si>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</si>
  <si>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</si>
  <si>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</si>
  <si>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</si>
  <si>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</si>
  <si>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</si>
  <si>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</si>
  <si>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</si>
  <si>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</si>
  <si>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</si>
  <si>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</si>
  <si>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</si>
  <si>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</si>
  <si>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</si>
  <si>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</si>
  <si>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</si>
  <si>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</si>
  <si>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</si>
  <si>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</si>
  <si>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</si>
  <si>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</si>
  <si>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</si>
  <si>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</si>
  <si>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</si>
  <si>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</si>
  <si>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</si>
  <si>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</si>
  <si>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</si>
  <si>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</si>
  <si>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</si>
  <si>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</si>
  <si>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</si>
  <si>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</si>
  <si>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</si>
  <si>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</si>
  <si>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</si>
  <si>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</si>
  <si>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</si>
  <si>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</si>
  <si>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</si>
  <si>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</si>
  <si>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</si>
  <si>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</si>
  <si>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</si>
  <si>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</si>
  <si>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</si>
  <si>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</si>
  <si>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</si>
  <si>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</si>
  <si>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</si>
  <si>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</si>
  <si>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</si>
  <si>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</si>
  <si>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</si>
  <si>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</si>
  <si>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</si>
  <si>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</si>
  <si>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</si>
  <si>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</si>
  <si>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</si>
  <si>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</si>
  <si>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</si>
  <si>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</si>
  <si>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</si>
  <si>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</si>
  <si>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</si>
  <si>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</si>
  <si>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</si>
  <si>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</si>
  <si>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</si>
  <si>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</si>
  <si>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</si>
  <si>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</si>
  <si>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</si>
  <si>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</si>
  <si>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</si>
  <si>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</si>
  <si>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</si>
  <si>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</si>
  <si>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</si>
  <si>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</si>
  <si>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</si>
  <si>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</si>
  <si>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</si>
  <si>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</si>
  <si>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</si>
  <si>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</si>
  <si>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</si>
  <si>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</si>
  <si>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</si>
  <si>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</si>
  <si>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</si>
  <si>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</si>
  <si>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</si>
  <si>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</si>
  <si>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</si>
  <si>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</si>
  <si>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</si>
  <si>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</si>
  <si>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</si>
  <si>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</si>
  <si>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</si>
  <si>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</si>
  <si>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</si>
  <si>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</si>
  <si>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</si>
  <si>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</si>
  <si>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</si>
  <si>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</si>
  <si>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</si>
  <si>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</si>
  <si>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</si>
  <si>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</si>
  <si>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</si>
  <si>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</si>
  <si>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</si>
  <si>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</si>
  <si>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</si>
  <si>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</si>
  <si>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</si>
  <si>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</si>
  <si>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</si>
  <si>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</si>
  <si>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</si>
  <si>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</si>
  <si>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</si>
  <si>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</si>
  <si>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</si>
  <si>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</si>
  <si>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</si>
  <si>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</si>
  <si>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</si>
  <si>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</si>
  <si>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</si>
  <si>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</si>
  <si>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</si>
  <si>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</si>
  <si>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</si>
  <si>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</si>
  <si>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</si>
  <si>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</si>
  <si>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</si>
  <si>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</si>
  <si>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</si>
  <si>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</si>
  <si>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</si>
  <si>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</si>
  <si>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</si>
  <si>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</si>
  <si>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</si>
  <si>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</si>
  <si>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</si>
  <si>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</si>
  <si>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</si>
  <si>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</si>
  <si>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</si>
  <si>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</si>
  <si>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</si>
  <si>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</si>
  <si>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</si>
  <si>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</si>
  <si>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</si>
  <si>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</si>
  <si>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</si>
  <si>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</si>
  <si>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</si>
  <si>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</si>
  <si>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</si>
  <si>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</si>
  <si>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</si>
  <si>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</si>
  <si>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</si>
  <si>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</si>
  <si>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</si>
  <si>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</si>
  <si>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</si>
  <si>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</si>
  <si>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</si>
  <si>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</si>
  <si>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</si>
  <si>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</si>
  <si>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</si>
  <si>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</si>
  <si>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</si>
  <si>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</si>
  <si>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</si>
  <si>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</si>
  <si>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</si>
  <si>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</si>
  <si>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</si>
  <si>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</si>
  <si>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</si>
  <si>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</si>
  <si>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</si>
  <si>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</si>
  <si>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</si>
  <si>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</si>
  <si>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</si>
  <si>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</si>
  <si>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</si>
  <si>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</si>
  <si>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</si>
  <si>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</si>
  <si>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</si>
  <si>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</si>
  <si>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</si>
  <si>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</si>
  <si>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</si>
  <si>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</si>
  <si>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</si>
  <si>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</si>
  <si>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</si>
  <si>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</si>
  <si>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</si>
  <si>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</si>
  <si>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</si>
  <si>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</si>
  <si>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</si>
  <si>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</si>
  <si>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</si>
  <si>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</si>
  <si>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</si>
  <si>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</si>
  <si>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</si>
  <si>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</si>
  <si>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</si>
  <si>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</si>
  <si>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</si>
  <si>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</si>
  <si>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</si>
  <si>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</si>
  <si>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</si>
  <si>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</si>
  <si>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</si>
  <si>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</si>
  <si>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</si>
  <si>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</si>
  <si>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</si>
  <si>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</si>
  <si>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</si>
  <si>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</si>
  <si>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</si>
  <si>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</si>
  <si>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</si>
  <si>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</si>
  <si>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</si>
  <si>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</si>
  <si>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</si>
  <si>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</si>
  <si>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</si>
  <si>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</si>
  <si>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</si>
  <si>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</si>
  <si>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</si>
  <si>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</si>
  <si>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</si>
  <si>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</si>
  <si>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</si>
  <si>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</si>
  <si>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</si>
  <si>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</si>
  <si>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</si>
  <si>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</si>
  <si>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</si>
  <si>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</si>
  <si>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</si>
  <si>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</si>
  <si>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</si>
  <si>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</si>
  <si>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</si>
  <si>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</si>
  <si>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</si>
  <si>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</si>
  <si>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</si>
  <si>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</si>
  <si>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</si>
  <si>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</si>
  <si>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</si>
  <si>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</si>
  <si>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</si>
  <si>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</si>
  <si>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</si>
  <si>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</si>
  <si>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</si>
  <si>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</si>
  <si>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</si>
  <si>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</si>
  <si>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</si>
  <si>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</si>
  <si>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</si>
  <si>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</si>
  <si>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</si>
  <si>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</si>
  <si>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</si>
  <si>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</si>
  <si>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</si>
  <si>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</si>
  <si>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</si>
  <si>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</si>
  <si>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</si>
  <si>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</si>
  <si>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</si>
  <si>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</si>
  <si>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</si>
  <si>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</si>
  <si>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</si>
  <si>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</si>
  <si>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</si>
  <si>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</si>
  <si>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</si>
  <si>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</si>
  <si>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</si>
  <si>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</si>
  <si>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</si>
  <si>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</si>
  <si>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</si>
  <si>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</si>
  <si>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</si>
  <si>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</si>
  <si>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</si>
  <si>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</si>
  <si>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</si>
  <si>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</si>
  <si>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</si>
  <si>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</si>
  <si>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</si>
  <si>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</si>
  <si>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</si>
  <si>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</si>
  <si>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</si>
  <si>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</si>
  <si>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</si>
  <si>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</si>
  <si>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</si>
  <si>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</si>
  <si>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</si>
  <si>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</si>
  <si>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</si>
  <si>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</si>
  <si>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</si>
  <si>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</si>
  <si>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</si>
  <si>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</si>
  <si>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</si>
  <si>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</si>
  <si>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</si>
  <si>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</si>
  <si>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</si>
  <si>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</si>
  <si>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</si>
  <si>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</si>
  <si>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</si>
  <si>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</si>
  <si>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</si>
  <si>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</si>
  <si>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</si>
  <si>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</si>
  <si>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</si>
  <si>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</si>
  <si>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</si>
  <si>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</si>
  <si>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</si>
  <si>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</si>
  <si>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</si>
  <si>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</si>
  <si>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</si>
  <si>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</si>
  <si>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</si>
  <si>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</si>
  <si>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</si>
  <si>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</si>
  <si>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</si>
  <si>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</si>
  <si>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</si>
  <si>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</si>
  <si>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</si>
  <si>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</si>
  <si>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</si>
  <si>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</si>
  <si>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</si>
  <si>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</si>
  <si>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</si>
  <si>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</si>
  <si>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</si>
  <si>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</si>
  <si>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</si>
  <si>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</si>
  <si>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核定资产</t>
  </si>
  <si>
    <t>房地产市场价值</t>
  </si>
  <si>
    <t>北京市</t>
  </si>
  <si>
    <t>企业</t>
  </si>
  <si>
    <r>
      <rPr>
        <sz val="10"/>
        <color theme="9" tint="-0.249977111117893"/>
        <rFont val="宋体"/>
        <family val="3"/>
        <charset val="134"/>
      </rPr>
      <t>昌平区南金路</t>
    </r>
    <r>
      <rPr>
        <sz val="10"/>
        <color theme="9" tint="-0.249977111117893"/>
        <rFont val="Arial"/>
        <family val="2"/>
      </rPr>
      <t>7</t>
    </r>
    <r>
      <rPr>
        <sz val="10"/>
        <color theme="9" tint="-0.249977111117893"/>
        <rFont val="宋体"/>
        <family val="3"/>
        <charset val="134"/>
      </rPr>
      <t>号院</t>
    </r>
    <phoneticPr fontId="4" type="noConversion"/>
  </si>
  <si>
    <t>地上</t>
  </si>
  <si>
    <t>住宅</t>
  </si>
  <si>
    <t>叠拼</t>
  </si>
  <si>
    <t>联排</t>
  </si>
  <si>
    <t>合院</t>
  </si>
  <si>
    <t>地下</t>
  </si>
  <si>
    <t>戊类库房</t>
  </si>
  <si>
    <t>楼号</t>
    <phoneticPr fontId="135" type="noConversion"/>
  </si>
  <si>
    <t>合院</t>
    <phoneticPr fontId="135" type="noConversion"/>
  </si>
  <si>
    <t>叠拼</t>
    <phoneticPr fontId="135" type="noConversion"/>
  </si>
  <si>
    <t>联排</t>
    <phoneticPr fontId="135" type="noConversion"/>
  </si>
  <si>
    <t>地下仓储</t>
    <phoneticPr fontId="135" type="noConversion"/>
  </si>
  <si>
    <t>地下车库</t>
    <phoneticPr fontId="135" type="noConversion"/>
  </si>
  <si>
    <t>设备</t>
    <phoneticPr fontId="135" type="noConversion"/>
  </si>
  <si>
    <t>人防</t>
    <phoneticPr fontId="135" type="noConversion"/>
  </si>
  <si>
    <t>楼层</t>
    <phoneticPr fontId="135" type="noConversion"/>
  </si>
  <si>
    <t>工程进度</t>
    <phoneticPr fontId="135" type="noConversion"/>
  </si>
  <si>
    <r>
      <t>E</t>
    </r>
    <r>
      <rPr>
        <sz val="11"/>
        <color theme="1"/>
        <rFont val="宋体"/>
        <family val="3"/>
        <charset val="134"/>
        <scheme val="minor"/>
      </rPr>
      <t>1</t>
    </r>
    <phoneticPr fontId="135" type="noConversion"/>
  </si>
  <si>
    <r>
      <t>E</t>
    </r>
    <r>
      <rPr>
        <sz val="11"/>
        <color theme="1"/>
        <rFont val="宋体"/>
        <family val="3"/>
        <charset val="134"/>
        <scheme val="minor"/>
      </rPr>
      <t>2</t>
    </r>
    <phoneticPr fontId="135" type="noConversion"/>
  </si>
  <si>
    <r>
      <t>E</t>
    </r>
    <r>
      <rPr>
        <sz val="11"/>
        <color theme="1"/>
        <rFont val="宋体"/>
        <family val="3"/>
        <charset val="134"/>
        <scheme val="minor"/>
      </rPr>
      <t>3</t>
    </r>
    <r>
      <rPr>
        <sz val="11"/>
        <color theme="1"/>
        <rFont val="宋体"/>
        <family val="2"/>
        <charset val="134"/>
        <scheme val="minor"/>
      </rPr>
      <t/>
    </r>
  </si>
  <si>
    <r>
      <t>E</t>
    </r>
    <r>
      <rPr>
        <sz val="11"/>
        <color theme="1"/>
        <rFont val="宋体"/>
        <family val="3"/>
        <charset val="134"/>
        <scheme val="minor"/>
      </rPr>
      <t>4</t>
    </r>
    <r>
      <rPr>
        <sz val="11"/>
        <color theme="1"/>
        <rFont val="宋体"/>
        <family val="2"/>
        <charset val="134"/>
        <scheme val="minor"/>
      </rPr>
      <t/>
    </r>
  </si>
  <si>
    <r>
      <t>E</t>
    </r>
    <r>
      <rPr>
        <sz val="11"/>
        <color theme="1"/>
        <rFont val="宋体"/>
        <family val="3"/>
        <charset val="134"/>
        <scheme val="minor"/>
      </rPr>
      <t>5</t>
    </r>
    <r>
      <rPr>
        <sz val="11"/>
        <color theme="1"/>
        <rFont val="宋体"/>
        <family val="2"/>
        <charset val="134"/>
        <scheme val="minor"/>
      </rPr>
      <t/>
    </r>
  </si>
  <si>
    <r>
      <t>E</t>
    </r>
    <r>
      <rPr>
        <sz val="11"/>
        <color theme="1"/>
        <rFont val="宋体"/>
        <family val="3"/>
        <charset val="134"/>
        <scheme val="minor"/>
      </rPr>
      <t>6</t>
    </r>
    <r>
      <rPr>
        <sz val="11"/>
        <color theme="1"/>
        <rFont val="宋体"/>
        <family val="2"/>
        <charset val="134"/>
        <scheme val="minor"/>
      </rPr>
      <t/>
    </r>
  </si>
  <si>
    <r>
      <t>E</t>
    </r>
    <r>
      <rPr>
        <sz val="11"/>
        <color theme="1"/>
        <rFont val="宋体"/>
        <family val="3"/>
        <charset val="134"/>
        <scheme val="minor"/>
      </rPr>
      <t>7</t>
    </r>
    <r>
      <rPr>
        <sz val="11"/>
        <color theme="1"/>
        <rFont val="宋体"/>
        <family val="2"/>
        <charset val="134"/>
        <scheme val="minor"/>
      </rPr>
      <t/>
    </r>
  </si>
  <si>
    <r>
      <t>E</t>
    </r>
    <r>
      <rPr>
        <sz val="11"/>
        <color theme="1"/>
        <rFont val="宋体"/>
        <family val="3"/>
        <charset val="134"/>
        <scheme val="minor"/>
      </rPr>
      <t>8</t>
    </r>
    <r>
      <rPr>
        <sz val="11"/>
        <color theme="1"/>
        <rFont val="宋体"/>
        <family val="2"/>
        <charset val="134"/>
        <scheme val="minor"/>
      </rPr>
      <t/>
    </r>
  </si>
  <si>
    <r>
      <t>E</t>
    </r>
    <r>
      <rPr>
        <sz val="11"/>
        <color theme="1"/>
        <rFont val="宋体"/>
        <family val="3"/>
        <charset val="134"/>
        <scheme val="minor"/>
      </rPr>
      <t>9</t>
    </r>
    <r>
      <rPr>
        <sz val="11"/>
        <color theme="1"/>
        <rFont val="宋体"/>
        <family val="2"/>
        <charset val="134"/>
        <scheme val="minor"/>
      </rPr>
      <t/>
    </r>
  </si>
  <si>
    <r>
      <t>E</t>
    </r>
    <r>
      <rPr>
        <sz val="11"/>
        <color theme="1"/>
        <rFont val="宋体"/>
        <family val="3"/>
        <charset val="134"/>
        <scheme val="minor"/>
      </rPr>
      <t>10</t>
    </r>
    <r>
      <rPr>
        <sz val="11"/>
        <color theme="1"/>
        <rFont val="宋体"/>
        <family val="2"/>
        <charset val="134"/>
        <scheme val="minor"/>
      </rPr>
      <t/>
    </r>
  </si>
  <si>
    <r>
      <t>E</t>
    </r>
    <r>
      <rPr>
        <sz val="11"/>
        <color theme="1"/>
        <rFont val="宋体"/>
        <family val="3"/>
        <charset val="134"/>
        <scheme val="minor"/>
      </rPr>
      <t>11</t>
    </r>
    <r>
      <rPr>
        <sz val="11"/>
        <color theme="1"/>
        <rFont val="宋体"/>
        <family val="2"/>
        <charset val="134"/>
        <scheme val="minor"/>
      </rPr>
      <t/>
    </r>
  </si>
  <si>
    <r>
      <t>E</t>
    </r>
    <r>
      <rPr>
        <sz val="11"/>
        <color theme="1"/>
        <rFont val="宋体"/>
        <family val="3"/>
        <charset val="134"/>
        <scheme val="minor"/>
      </rPr>
      <t>12</t>
    </r>
    <r>
      <rPr>
        <sz val="11"/>
        <color theme="1"/>
        <rFont val="宋体"/>
        <family val="2"/>
        <charset val="134"/>
        <scheme val="minor"/>
      </rPr>
      <t/>
    </r>
  </si>
  <si>
    <r>
      <t>E</t>
    </r>
    <r>
      <rPr>
        <sz val="11"/>
        <color theme="1"/>
        <rFont val="宋体"/>
        <family val="3"/>
        <charset val="134"/>
        <scheme val="minor"/>
      </rPr>
      <t>13</t>
    </r>
    <r>
      <rPr>
        <sz val="11"/>
        <color theme="1"/>
        <rFont val="宋体"/>
        <family val="2"/>
        <charset val="134"/>
        <scheme val="minor"/>
      </rPr>
      <t/>
    </r>
  </si>
  <si>
    <r>
      <t>E</t>
    </r>
    <r>
      <rPr>
        <sz val="11"/>
        <color theme="1"/>
        <rFont val="宋体"/>
        <family val="3"/>
        <charset val="134"/>
        <scheme val="minor"/>
      </rPr>
      <t>14</t>
    </r>
    <r>
      <rPr>
        <sz val="11"/>
        <color theme="1"/>
        <rFont val="宋体"/>
        <family val="2"/>
        <charset val="134"/>
        <scheme val="minor"/>
      </rPr>
      <t/>
    </r>
  </si>
  <si>
    <r>
      <t>E</t>
    </r>
    <r>
      <rPr>
        <sz val="11"/>
        <color theme="1"/>
        <rFont val="宋体"/>
        <family val="3"/>
        <charset val="134"/>
        <scheme val="minor"/>
      </rPr>
      <t>15</t>
    </r>
    <r>
      <rPr>
        <sz val="11"/>
        <color theme="1"/>
        <rFont val="宋体"/>
        <family val="2"/>
        <charset val="134"/>
        <scheme val="minor"/>
      </rPr>
      <t/>
    </r>
  </si>
  <si>
    <r>
      <t>E</t>
    </r>
    <r>
      <rPr>
        <sz val="11"/>
        <color theme="1"/>
        <rFont val="宋体"/>
        <family val="3"/>
        <charset val="134"/>
        <scheme val="minor"/>
      </rPr>
      <t>16</t>
    </r>
    <r>
      <rPr>
        <sz val="11"/>
        <color theme="1"/>
        <rFont val="宋体"/>
        <family val="2"/>
        <charset val="134"/>
        <scheme val="minor"/>
      </rPr>
      <t/>
    </r>
  </si>
  <si>
    <r>
      <t>E</t>
    </r>
    <r>
      <rPr>
        <sz val="11"/>
        <color theme="1"/>
        <rFont val="宋体"/>
        <family val="3"/>
        <charset val="134"/>
        <scheme val="minor"/>
      </rPr>
      <t>17</t>
    </r>
    <r>
      <rPr>
        <sz val="11"/>
        <color theme="1"/>
        <rFont val="宋体"/>
        <family val="2"/>
        <charset val="134"/>
        <scheme val="minor"/>
      </rPr>
      <t/>
    </r>
  </si>
  <si>
    <r>
      <t>E</t>
    </r>
    <r>
      <rPr>
        <sz val="11"/>
        <color theme="1"/>
        <rFont val="宋体"/>
        <family val="3"/>
        <charset val="134"/>
        <scheme val="minor"/>
      </rPr>
      <t>18</t>
    </r>
    <r>
      <rPr>
        <sz val="11"/>
        <color theme="1"/>
        <rFont val="宋体"/>
        <family val="2"/>
        <charset val="134"/>
        <scheme val="minor"/>
      </rPr>
      <t/>
    </r>
  </si>
  <si>
    <t>F1</t>
    <phoneticPr fontId="135" type="noConversion"/>
  </si>
  <si>
    <t>F2</t>
    <phoneticPr fontId="135" type="noConversion"/>
  </si>
  <si>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</si>
  <si>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</si>
  <si>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</si>
  <si>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</si>
  <si>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</si>
  <si>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</si>
  <si>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</si>
  <si>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</si>
  <si>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</si>
  <si>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</si>
  <si>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</si>
  <si>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</si>
  <si>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</si>
  <si>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</si>
  <si>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</si>
  <si>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</si>
  <si>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</si>
  <si>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</si>
  <si>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</si>
  <si>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</si>
  <si>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</si>
  <si>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</si>
  <si>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</si>
  <si>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</si>
  <si>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</si>
  <si>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</si>
  <si>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L1</t>
    <phoneticPr fontId="135" type="noConversion"/>
  </si>
  <si>
    <t>L2</t>
    <phoneticPr fontId="135" type="noConversion"/>
  </si>
  <si>
    <t>L3</t>
  </si>
  <si>
    <t>L4</t>
  </si>
  <si>
    <t>L5</t>
  </si>
  <si>
    <t>地下室</t>
    <phoneticPr fontId="135" type="noConversion"/>
  </si>
  <si>
    <t>个车位</t>
    <phoneticPr fontId="135" type="noConversion"/>
  </si>
  <si>
    <t>总土地面积</t>
    <phoneticPr fontId="135" type="noConversion"/>
  </si>
  <si>
    <t>经营性用途建筑</t>
    <phoneticPr fontId="135" type="noConversion"/>
  </si>
  <si>
    <t>经营性用途土地</t>
    <phoneticPr fontId="135" type="noConversion"/>
  </si>
  <si>
    <t>开发完成后价值</t>
    <phoneticPr fontId="135" type="noConversion"/>
  </si>
  <si>
    <t>房地产价值</t>
    <phoneticPr fontId="135" type="noConversion"/>
  </si>
  <si>
    <t>单价</t>
    <phoneticPr fontId="135" type="noConversion"/>
  </si>
  <si>
    <t>合院面积</t>
    <phoneticPr fontId="135" type="noConversion"/>
  </si>
  <si>
    <t>叠拼面积</t>
    <phoneticPr fontId="135" type="noConversion"/>
  </si>
  <si>
    <t>联排面积</t>
    <phoneticPr fontId="135" type="noConversion"/>
  </si>
  <si>
    <t>仓储面积</t>
    <phoneticPr fontId="135" type="noConversion"/>
  </si>
  <si>
    <t>车库面积</t>
    <phoneticPr fontId="135" type="noConversion"/>
  </si>
  <si>
    <t>评估总值</t>
    <phoneticPr fontId="135" type="noConversion"/>
  </si>
  <si>
    <t>土地价值</t>
    <phoneticPr fontId="135" type="noConversion"/>
  </si>
  <si>
    <t>建筑物价值</t>
    <phoneticPr fontId="135" type="noConversion"/>
  </si>
  <si>
    <r>
      <t>咨询对象</t>
    </r>
    <r>
      <rPr>
        <sz val="12"/>
        <color theme="1"/>
        <rFont val="Arial"/>
        <family val="2"/>
      </rPr>
      <t xml:space="preserve">1 </t>
    </r>
    <r>
      <rPr>
        <sz val="12"/>
        <color theme="1"/>
        <rFont val="方正黑体简体"/>
        <charset val="134"/>
      </rPr>
      <t>（玖瀛府项目）叠拼用房价值一览表</t>
    </r>
  </si>
  <si>
    <r>
      <t>咨询对象</t>
    </r>
    <r>
      <rPr>
        <sz val="12"/>
        <color theme="1"/>
        <rFont val="Arial"/>
        <family val="2"/>
      </rPr>
      <t>1</t>
    </r>
    <r>
      <rPr>
        <sz val="12"/>
        <color theme="1"/>
        <rFont val="方正黑体简体"/>
        <charset val="134"/>
      </rPr>
      <t>（玖瀛府项目）联排用房价值一览表</t>
    </r>
  </si>
  <si>
    <r>
      <t>咨询对象</t>
    </r>
    <r>
      <rPr>
        <sz val="12"/>
        <color theme="1"/>
        <rFont val="Arial"/>
        <family val="2"/>
      </rPr>
      <t>1</t>
    </r>
    <r>
      <rPr>
        <sz val="12"/>
        <color theme="1"/>
        <rFont val="方正黑体简体"/>
        <charset val="134"/>
      </rPr>
      <t>（玖瀛府项目）合院用房价值一览表</t>
    </r>
  </si>
  <si>
    <r>
      <t>咨询对象</t>
    </r>
    <r>
      <rPr>
        <sz val="12"/>
        <color theme="1"/>
        <rFont val="Arial"/>
        <family val="2"/>
      </rPr>
      <t>1</t>
    </r>
    <r>
      <rPr>
        <sz val="12"/>
        <color theme="1"/>
        <rFont val="方正黑体简体"/>
        <charset val="134"/>
      </rPr>
      <t>（玖瀛府项目）地下仓储用房价值一览表</t>
    </r>
  </si>
  <si>
    <r>
      <t>咨询对象</t>
    </r>
    <r>
      <rPr>
        <sz val="12"/>
        <color theme="1"/>
        <rFont val="Arial"/>
        <family val="2"/>
      </rPr>
      <t>1</t>
    </r>
    <r>
      <rPr>
        <sz val="12"/>
        <color theme="1"/>
        <rFont val="方正黑体简体"/>
        <charset val="134"/>
      </rPr>
      <t>（玖瀛府项目）地下车库用房价值一览表</t>
    </r>
  </si>
  <si>
    <t>序号</t>
  </si>
  <si>
    <t>楼栋</t>
  </si>
  <si>
    <t>单元</t>
  </si>
  <si>
    <t>房号</t>
  </si>
  <si>
    <t>规划建筑面积（㎡）</t>
    <phoneticPr fontId="135" type="noConversion"/>
  </si>
  <si>
    <t>市场价值（万元）</t>
  </si>
  <si>
    <r>
      <t>单价（元</t>
    </r>
    <r>
      <rPr>
        <b/>
        <sz val="9"/>
        <color rgb="FF000000"/>
        <rFont val="Arial"/>
        <family val="2"/>
      </rPr>
      <t>/</t>
    </r>
    <r>
      <rPr>
        <b/>
        <sz val="9"/>
        <color rgb="FF000000"/>
        <rFont val="华文细黑"/>
        <family val="3"/>
        <charset val="134"/>
      </rPr>
      <t>㎡）</t>
    </r>
    <phoneticPr fontId="135" type="noConversion"/>
  </si>
  <si>
    <t>单价（元/㎡）</t>
    <phoneticPr fontId="135" type="noConversion"/>
  </si>
  <si>
    <t>类别</t>
  </si>
  <si>
    <t>楼号</t>
  </si>
  <si>
    <t>车位号</t>
  </si>
  <si>
    <t>建筑面积（㎡）</t>
    <phoneticPr fontId="135" type="noConversion"/>
  </si>
  <si>
    <t>F1</t>
  </si>
  <si>
    <t>L1</t>
  </si>
  <si>
    <t>E1</t>
  </si>
  <si>
    <t>车位</t>
  </si>
  <si>
    <t>E2</t>
  </si>
  <si>
    <t>L2</t>
  </si>
  <si>
    <t>F2</t>
  </si>
  <si>
    <t>E3</t>
  </si>
  <si>
    <t>E4</t>
  </si>
  <si>
    <t>E5</t>
  </si>
  <si>
    <t>E6</t>
  </si>
  <si>
    <t>E7</t>
  </si>
  <si>
    <t>小计</t>
  </si>
  <si>
    <r>
      <t>2021</t>
    </r>
    <r>
      <rPr>
        <sz val="9"/>
        <color rgb="FF000000"/>
        <rFont val="宋体"/>
        <family val="3"/>
        <charset val="134"/>
      </rPr>
      <t>年价值</t>
    </r>
    <phoneticPr fontId="135" type="noConversion"/>
  </si>
  <si>
    <t>E8</t>
  </si>
  <si>
    <t>E9</t>
  </si>
  <si>
    <t>E10</t>
  </si>
  <si>
    <t>E11</t>
  </si>
  <si>
    <t>E12</t>
  </si>
  <si>
    <t>E13</t>
  </si>
  <si>
    <t>E14</t>
  </si>
  <si>
    <t>E15</t>
  </si>
  <si>
    <t>E16</t>
  </si>
  <si>
    <t>E17</t>
  </si>
  <si>
    <t>E18</t>
  </si>
  <si>
    <t>合计</t>
  </si>
  <si>
    <t>是</t>
  </si>
  <si>
    <t>工程进度</t>
  </si>
  <si>
    <t>收益法</t>
  </si>
  <si>
    <t>一般</t>
  </si>
  <si>
    <t>一般</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</si>
  <si>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南环南路</t>
    </r>
    <phoneticPr fontId="25" type="noConversion"/>
  </si>
  <si>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</si>
  <si>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</si>
  <si>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</si>
  <si>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</si>
  <si>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</si>
  <si>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</si>
  <si>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</si>
  <si>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</si>
  <si>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</si>
  <si>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</si>
  <si>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</si>
  <si>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</si>
  <si>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</si>
  <si>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</si>
  <si>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</si>
  <si>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</si>
  <si>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</si>
  <si>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</si>
  <si>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</si>
  <si>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</si>
  <si>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</si>
  <si>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</si>
  <si>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</si>
  <si>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</si>
  <si>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</si>
  <si>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</si>
  <si>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</si>
  <si>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</si>
  <si>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溢价率上限(%)</t>
  </si>
  <si>
    <t>基准地价</t>
  </si>
  <si>
    <t>北京市昌平区小沙河村及周边地块棚户区改造和环境整治项目CP00-1802-0005、0007、0008地块R2二类居住用地、A6社会福利用地、A33基础教育用地</t>
  </si>
  <si>
    <t>京土储挂(昌)[2024]038号</t>
  </si>
  <si>
    <t>住宅用地</t>
  </si>
  <si>
    <t>R2二类居住用地、A6社会福利用地、A33基础教育用地</t>
  </si>
  <si>
    <t>r2:1.8,a6\a33:0.8</t>
  </si>
  <si>
    <t/>
  </si>
  <si>
    <t>挂牌</t>
  </si>
  <si>
    <t>2024-10-22</t>
  </si>
  <si>
    <t>已成交</t>
  </si>
  <si>
    <t>武汉康景实业投资有限公司 、北京未来科学城置业有限公司</t>
  </si>
  <si>
    <t>2024-10-21 17:00</t>
  </si>
  <si>
    <t>未触达</t>
  </si>
  <si>
    <t>10740元/㎡(七级住宅用途2021-01-01)</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</si>
  <si>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</si>
  <si>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</si>
  <si>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</si>
  <si>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</si>
  <si>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</si>
  <si>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</si>
  <si>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2024-07-02 17:00</t>
  </si>
  <si>
    <t>7830元/㎡(八级住宅用途2021-01-01)</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</si>
  <si>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</si>
  <si>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</si>
  <si>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</si>
  <si>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</si>
  <si>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</si>
  <si>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</si>
  <si>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</si>
  <si>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2024-03-26 15:00</t>
  </si>
  <si>
    <t>触达</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</si>
  <si>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</si>
  <si>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</si>
  <si>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</si>
  <si>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</si>
  <si>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</si>
  <si>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</si>
  <si>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</si>
  <si>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</si>
  <si>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</si>
  <si>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</si>
  <si>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</si>
  <si>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</si>
  <si>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</si>
  <si>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</si>
  <si>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</si>
  <si>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</si>
  <si>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</si>
  <si>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</si>
  <si>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</si>
  <si>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</si>
  <si>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</si>
  <si>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</si>
  <si>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</si>
  <si>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</si>
  <si>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</si>
  <si>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</si>
  <si>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</si>
  <si>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</si>
  <si>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</si>
  <si>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</si>
  <si>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</si>
  <si>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</si>
  <si>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</si>
  <si>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</si>
  <si>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</si>
  <si>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</si>
  <si>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</si>
  <si>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</si>
  <si>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</si>
  <si>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</si>
  <si>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</si>
  <si>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</si>
  <si>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</si>
  <si>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</si>
  <si>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</si>
  <si>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</si>
  <si>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</si>
  <si>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</si>
  <si>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</si>
  <si>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</si>
  <si>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</si>
  <si>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</si>
  <si>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</si>
  <si>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</si>
  <si>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</si>
  <si>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</si>
  <si>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</si>
  <si>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</si>
  <si>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</si>
  <si>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</si>
  <si>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</si>
  <si>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</si>
  <si>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2022-09-21 15:00</t>
  </si>
  <si>
    <t>13850元/㎡(六级住宅用途2021-01-01)</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</si>
  <si>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</si>
  <si>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</si>
  <si>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</si>
  <si>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</si>
  <si>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</si>
  <si>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</si>
  <si>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2022-05-31 15:00</t>
  </si>
  <si>
    <t>北京市昌平区北七家镇平西府土地一级开发项目B-02地块(CP-121101044009-012地块)R2二类居住用地</t>
  </si>
  <si>
    <t>京土储挂(昌)[2022]036号</t>
  </si>
  <si>
    <t>≤2.5</t>
  </si>
  <si>
    <t>华润置地开发(北京)有限公司 、中能建城市投资发展有限公司</t>
  </si>
  <si>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</si>
  <si>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</si>
  <si>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</si>
  <si>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</si>
  <si>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</si>
  <si>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</si>
  <si>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</si>
  <si>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</si>
  <si>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</si>
  <si>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</si>
  <si>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</si>
  <si>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较差</t>
  </si>
  <si>
    <t>差</t>
  </si>
  <si>
    <t>规则</t>
  </si>
  <si>
    <t>七通</t>
    <phoneticPr fontId="4" type="noConversion"/>
  </si>
  <si>
    <t>较规则</t>
  </si>
  <si>
    <t>较不规则</t>
  </si>
  <si>
    <t>全部缴纳</t>
  </si>
  <si>
    <t>已包含在土地取得成本中</t>
  </si>
  <si>
    <t>未包含在土地购买价格中</t>
  </si>
  <si>
    <t>金隅上城郡</t>
    <phoneticPr fontId="4" type="noConversion"/>
  </si>
  <si>
    <t>御汤山</t>
    <phoneticPr fontId="4" type="noConversion"/>
  </si>
  <si>
    <t>项目模式</t>
  </si>
  <si>
    <t>售价</t>
  </si>
  <si>
    <t>正常</t>
  </si>
  <si>
    <t>50-60（含）</t>
  </si>
  <si>
    <t>60-70（含）</t>
  </si>
  <si>
    <t>40-50（含）</t>
  </si>
  <si>
    <t>30-40（含）</t>
  </si>
  <si>
    <t>20-30（含）</t>
  </si>
  <si>
    <t>10-20（含）</t>
  </si>
  <si>
    <t>0-10（含）</t>
  </si>
  <si>
    <t>叠拼</t>
    <phoneticPr fontId="4" type="noConversion"/>
  </si>
  <si>
    <t>钢混</t>
    <phoneticPr fontId="4" type="noConversion"/>
  </si>
  <si>
    <t>高档</t>
    <phoneticPr fontId="4" type="noConversion"/>
  </si>
  <si>
    <t>精装修</t>
    <phoneticPr fontId="4" type="noConversion"/>
  </si>
  <si>
    <t>专业</t>
    <phoneticPr fontId="4" type="noConversion"/>
  </si>
  <si>
    <t>六通</t>
    <phoneticPr fontId="4" type="noConversion"/>
  </si>
  <si>
    <t>五通</t>
    <phoneticPr fontId="4" type="noConversion"/>
  </si>
  <si>
    <t>精装</t>
    <phoneticPr fontId="4" type="noConversion"/>
  </si>
  <si>
    <t>普装</t>
    <phoneticPr fontId="4" type="noConversion"/>
  </si>
  <si>
    <t>简装</t>
    <phoneticPr fontId="4" type="noConversion"/>
  </si>
  <si>
    <t>毛坯</t>
    <phoneticPr fontId="4" type="noConversion"/>
  </si>
  <si>
    <t>在建（套用方法）</t>
  </si>
  <si>
    <t>押一</t>
  </si>
  <si>
    <t>钢混</t>
  </si>
  <si>
    <t>非生产用房</t>
  </si>
  <si>
    <t>收益法车</t>
    <phoneticPr fontId="17" type="noConversion"/>
  </si>
  <si>
    <t>高档</t>
  </si>
  <si>
    <t>精装修</t>
  </si>
  <si>
    <t>专业</t>
  </si>
  <si>
    <t>毛坯</t>
  </si>
  <si>
    <t>否</t>
  </si>
  <si>
    <t>独栋</t>
  </si>
  <si>
    <t>loft</t>
    <phoneticPr fontId="4" type="noConversion"/>
  </si>
  <si>
    <t>平层</t>
    <phoneticPr fontId="4" type="noConversion"/>
  </si>
  <si>
    <t>是</t>
    <phoneticPr fontId="4" type="noConversion"/>
  </si>
  <si>
    <t>否</t>
    <phoneticPr fontId="4" type="noConversion"/>
  </si>
  <si>
    <t>珠江·天樾书院</t>
    <phoneticPr fontId="4" type="noConversion"/>
  </si>
  <si>
    <t>洋房</t>
  </si>
  <si>
    <t>建筑类型</t>
  </si>
  <si>
    <t>内部装修</t>
  </si>
  <si>
    <t>普装</t>
  </si>
  <si>
    <t>简装</t>
  </si>
  <si>
    <t>精装</t>
    <phoneticPr fontId="25" type="noConversion"/>
  </si>
  <si>
    <t>是否含赠送地下室面积</t>
  </si>
  <si>
    <t>叠拼</t>
    <phoneticPr fontId="25" type="noConversion"/>
  </si>
  <si>
    <t>联排</t>
    <phoneticPr fontId="25" type="noConversion"/>
  </si>
  <si>
    <t>合院</t>
    <phoneticPr fontId="25" type="noConversion"/>
  </si>
  <si>
    <t>成本法</t>
  </si>
  <si>
    <t>假设开发法</t>
  </si>
  <si>
    <t>在建</t>
  </si>
  <si>
    <t>项目局部</t>
  </si>
  <si>
    <t>总价</t>
  </si>
  <si>
    <t>成本比率</t>
  </si>
  <si>
    <r>
      <t>40-50</t>
    </r>
    <r>
      <rPr>
        <sz val="11"/>
        <color indexed="8"/>
        <rFont val="宋体"/>
        <family val="3"/>
        <charset val="134"/>
      </rPr>
      <t>（含）</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</si>
</sst>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2"/>
      <color indexed="8"/>
      <name val="仿宋_GB2312"/>
      <family val="3"/>
      <charset val="134"/>
    </font>
    <font>
      <sz val="12"/>
      <color theme="1"/>
      <name val="方正黑体简体"/>
      <charset val="134"/>
    </font>
    <font>
      <b/>
      <sz val="9"/>
      <color rgb="FF000000"/>
      <name val="华文细黑"/>
      <family val="3"/>
      <charset val="134"/>
    </font>
    <font>
      <b/>
      <sz val="9"/>
      <color rgb="FF000000"/>
      <name val="Arial"/>
      <family val="2"/>
    </font>
    <font>
      <b/>
      <sz val="10"/>
      <color rgb="FF000000"/>
      <name val="Times New Roman"/>
      <family val="1"/>
    </font>
    <font>
      <sz val="9"/>
      <color rgb="FF000000"/>
      <name val="宋体"/>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2" fillId="5" borderId="1" xfId="0" applyNumberFormat="1" applyFont="1" applyFill="1" applyBorder="1" applyAlignment="1" applyProtection="1">
      <alignment horizontal="center" vertical="center" wrapText="1"/>
      <protection locked="0"/>
    </xf>
    <xf numFmtId="0" fontId="96" fillId="0" borderId="0" xfId="10">
      <alignment vertical="center"/>
    </xf>
    <xf numFmtId="9" fontId="95" fillId="0" borderId="0" xfId="10" applyNumberFormat="1" applyFont="1" applyAlignment="1">
      <alignment horizontal="center" vertical="center" shrinkToFit="1"/>
    </xf>
    <xf numFmtId="0" fontId="271" fillId="0" borderId="0" xfId="10" applyFont="1">
      <alignment vertical="center"/>
    </xf>
    <xf numFmtId="181" fontId="96" fillId="0" borderId="0" xfId="10" applyNumberFormat="1">
      <alignment vertical="center"/>
    </xf>
    <xf numFmtId="9" fontId="96" fillId="0" borderId="0" xfId="10" applyNumberFormat="1">
      <alignment vertical="center"/>
    </xf>
    <xf numFmtId="0" fontId="96" fillId="0" borderId="0" xfId="10" applyAlignment="1">
      <alignment horizontal="left" vertical="center"/>
    </xf>
    <xf numFmtId="0" fontId="274" fillId="0" borderId="82" xfId="10" applyFont="1" applyBorder="1" applyAlignment="1">
      <alignment horizontal="left" vertical="center" wrapText="1"/>
    </xf>
    <xf numFmtId="0" fontId="274" fillId="0" borderId="65" xfId="10" applyFont="1" applyBorder="1" applyAlignment="1">
      <alignment horizontal="left" vertical="center" wrapText="1"/>
    </xf>
    <xf numFmtId="0" fontId="274" fillId="0" borderId="65" xfId="10" applyFont="1" applyBorder="1" applyAlignment="1">
      <alignment horizontal="left" vertical="center"/>
    </xf>
    <xf numFmtId="0" fontId="267" fillId="0" borderId="81" xfId="10" applyFont="1" applyBorder="1" applyAlignment="1">
      <alignment horizontal="left" vertical="center"/>
    </xf>
    <xf numFmtId="0" fontId="267" fillId="0" borderId="43" xfId="10" applyFont="1" applyBorder="1" applyAlignment="1">
      <alignment horizontal="left" vertical="center"/>
    </xf>
    <xf numFmtId="0" fontId="267" fillId="12" borderId="81" xfId="10" applyFont="1" applyFill="1" applyBorder="1" applyAlignment="1">
      <alignment horizontal="left" vertical="center"/>
    </xf>
    <xf numFmtId="0" fontId="267" fillId="12" borderId="43" xfId="10" applyFont="1" applyFill="1" applyBorder="1" applyAlignment="1">
      <alignment horizontal="left" vertical="center"/>
    </xf>
    <xf numFmtId="0" fontId="265" fillId="0" borderId="43" xfId="10" applyFont="1" applyBorder="1" applyAlignment="1">
      <alignment horizontal="left" vertical="center"/>
    </xf>
    <xf numFmtId="0" fontId="275" fillId="0" borderId="43" xfId="10" applyFont="1" applyBorder="1" applyAlignment="1">
      <alignment horizontal="left" vertical="center"/>
    </xf>
    <xf numFmtId="0" fontId="276" fillId="0" borderId="43" xfId="10" applyFont="1" applyBorder="1" applyAlignment="1">
      <alignment horizontal="left" vertical="center"/>
    </xf>
    <xf numFmtId="0" fontId="267" fillId="0" borderId="1" xfId="10" applyFont="1" applyBorder="1" applyAlignment="1">
      <alignment horizontal="left" vertical="center"/>
    </xf>
    <xf numFmtId="0" fontId="274" fillId="0" borderId="43" xfId="10" applyFont="1" applyBorder="1" applyAlignment="1">
      <alignment horizontal="left" vertical="center"/>
    </xf>
    <xf numFmtId="49" fontId="223" fillId="0" borderId="10" xfId="0" applyNumberFormat="1" applyFont="1" applyBorder="1" applyAlignment="1" applyProtection="1">
      <alignment vertical="center" wrapText="1"/>
      <protection locked="0"/>
    </xf>
    <xf numFmtId="0" fontId="278" fillId="0" borderId="49" xfId="0" applyFont="1" applyBorder="1" applyProtection="1">
      <alignment vertical="center"/>
      <protection locked="0"/>
    </xf>
    <xf numFmtId="0" fontId="0" fillId="16" borderId="0" xfId="0" applyFill="1" applyAlignment="1"/>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77" fontId="140" fillId="3" borderId="3" xfId="0" applyNumberFormat="1" applyFont="1" applyFill="1" applyBorder="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78" fillId="0" borderId="4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78" fillId="0" borderId="1" xfId="0" applyFont="1" applyBorder="1" applyAlignment="1" applyProtection="1">
      <alignment horizontal="center" vertical="center"/>
      <protection locked="0"/>
    </xf>
    <xf numFmtId="49" fontId="45" fillId="8" borderId="23" xfId="0" applyNumberFormat="1"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4" fillId="0" borderId="63" xfId="10" applyFont="1" applyBorder="1" applyAlignment="1">
      <alignment horizontal="left" vertical="center"/>
    </xf>
    <xf numFmtId="0" fontId="274" fillId="0" borderId="64" xfId="10" applyFont="1" applyBorder="1" applyAlignment="1">
      <alignment horizontal="left" vertical="center"/>
    </xf>
    <xf numFmtId="0" fontId="274" fillId="0" borderId="65" xfId="10" applyFont="1" applyBorder="1" applyAlignment="1">
      <alignment horizontal="left" vertical="center"/>
    </xf>
    <xf numFmtId="0" fontId="265" fillId="0" borderId="63" xfId="10" applyFont="1" applyBorder="1" applyAlignment="1">
      <alignment horizontal="left" vertical="center"/>
    </xf>
    <xf numFmtId="0" fontId="265" fillId="0" borderId="64" xfId="10" applyFont="1" applyBorder="1" applyAlignment="1">
      <alignment horizontal="left" vertical="center"/>
    </xf>
    <xf numFmtId="0" fontId="265" fillId="0" borderId="176" xfId="10" applyFont="1" applyBorder="1" applyAlignment="1">
      <alignment horizontal="left" vertical="center"/>
    </xf>
    <xf numFmtId="0" fontId="273" fillId="0" borderId="47" xfId="1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2023-1-0841&#26124;&#24179;&#29590;&#28699;&#24220;\2023-1-0841-F03HDZC1&#33539;&#22260;&#21464;&#21270;1.15\&#26368;&#32456;\2023-1-0841-F03&#29590;&#28699;&#24220;&#22312;&#24314;-&#29579;&#26342;1.15&#26410;&#21464;.xlsx" TargetMode="External"/><Relationship Id="rId1" Type="http://schemas.openxmlformats.org/officeDocument/2006/relationships/externalLinkPath" Target="2023-1-0841&#26124;&#24179;&#29590;&#28699;&#24220;/2023-1-0841-F03HDZC1&#33539;&#22260;&#21464;&#21270;1.15/&#26368;&#32456;/2023-1-0841-F03&#29590;&#28699;&#24220;&#22312;&#24314;-&#29579;&#26342;1.15&#2641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29590;&#28699;&#24220;-&#20840;&#37096;&#38754;&#31215;&#21450;&#25286;&#20998;&#20215;&#20540;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G19">
            <v>381008</v>
          </cell>
        </row>
        <row r="118">
          <cell r="D118">
            <v>343288</v>
          </cell>
          <cell r="F118">
            <v>37720</v>
          </cell>
        </row>
      </sheetData>
      <sheetData sheetId="21"/>
      <sheetData sheetId="22"/>
      <sheetData sheetId="23">
        <row r="4">
          <cell r="C4">
            <v>425740</v>
          </cell>
        </row>
        <row r="8">
          <cell r="C8">
            <v>278726</v>
          </cell>
          <cell r="D8">
            <v>33860</v>
          </cell>
          <cell r="E8">
            <v>108190</v>
          </cell>
          <cell r="F8">
            <v>3554</v>
          </cell>
          <cell r="G8">
            <v>1410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1">
          <cell r="C11">
            <v>0.87</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3">
          <cell r="L53">
            <v>499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北京市昌平区南金路7号院出让国有建设用地使用权及在建建筑物房地产市场价值预评估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受贵公司委托，我公司对北京市昌平区南金路7号院出让国有建设用地使用权及在建建筑物房地产抵押价值进行了预评估。</v>
      </c>
    </row>
    <row r="7" spans="1:2">
      <c r="A7" s="1118" t="s">
        <v>566</v>
      </c>
      <c r="B7" s="1119" t="str">
        <f>'预评函-1'!A7</f>
        <v>估价对象为北京市昌平区南金路7号院出让国有建设用地使用权及在建建筑物房地产，为所有。根据《国有土地使用证》[]，估价对象（分摊）出让国有建设用地使用权面积为123131.88平方米，建筑面积为139467.97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2024年10月31日</v>
      </c>
    </row>
    <row r="13" spans="1:2">
      <c r="A13" s="1118" t="s">
        <v>529</v>
      </c>
      <c r="B13" s="1119" t="str">
        <f>'预评函-1'!A18</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本次评估采用的主估价方法为成本法和假设开发法。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392351</v>
      </c>
    </row>
    <row r="21" spans="1:2">
      <c r="A21" s="1118" t="s">
        <v>537</v>
      </c>
      <c r="B21" s="1119">
        <f ca="1">'预评函-2'!D7</f>
        <v>28132</v>
      </c>
    </row>
    <row r="22" spans="1:2">
      <c r="A22" s="1118" t="s">
        <v>538</v>
      </c>
      <c r="B22" s="1119" t="str">
        <f ca="1">'预评函-2'!D6</f>
        <v>叁拾玖亿贰仟叁佰伍拾壹万元整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392351</v>
      </c>
    </row>
    <row r="31" spans="1:2">
      <c r="A31" s="1118" t="s">
        <v>576</v>
      </c>
      <c r="B31" s="1119">
        <f ca="1">'预评函-2'!D15</f>
        <v>28132</v>
      </c>
    </row>
    <row r="32" spans="1:2">
      <c r="A32" s="1118" t="s">
        <v>543</v>
      </c>
      <c r="B32" s="1119" t="str">
        <f ca="1">'预评函-2'!D14</f>
        <v>叁拾玖亿贰仟叁佰伍拾壹万元整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北京市昌平区南金路7号院出让国有建设用地使用权及在建建筑物房地产</v>
      </c>
    </row>
    <row r="42" spans="1:2">
      <c r="A42" s="1118" t="s">
        <v>590</v>
      </c>
      <c r="B42" s="1119" t="str">
        <f>'预评函-3'!B2</f>
        <v>建筑面积</v>
      </c>
    </row>
    <row r="43" spans="1:2">
      <c r="A43" s="1118" t="s">
        <v>591</v>
      </c>
      <c r="B43" s="1119">
        <f>'预评函-3'!B4</f>
        <v>139467.97</v>
      </c>
    </row>
    <row r="44" spans="1:2">
      <c r="A44" s="1118" t="s">
        <v>575</v>
      </c>
      <c r="B44" s="1119" t="str">
        <f>'预评函-3'!C2</f>
        <v>(分摊)土地面积</v>
      </c>
    </row>
    <row r="45" spans="1:2">
      <c r="A45" s="1118" t="s">
        <v>547</v>
      </c>
      <c r="B45" s="1119">
        <f>'预评函-3'!C4</f>
        <v>123131.88</v>
      </c>
    </row>
    <row r="46" spans="1:2">
      <c r="A46" s="1118" t="s">
        <v>573</v>
      </c>
      <c r="B46" s="1119" t="str">
        <f>'预评函-3'!D2</f>
        <v>出让国有建设用地使用权价值</v>
      </c>
    </row>
    <row r="47" spans="1:2">
      <c r="A47" s="1118" t="s">
        <v>548</v>
      </c>
      <c r="B47" s="1119">
        <f ca="1">'预评函-3'!D4</f>
        <v>342130</v>
      </c>
    </row>
    <row r="48" spans="1:2">
      <c r="A48" s="1118" t="s">
        <v>549</v>
      </c>
      <c r="B48" s="1119">
        <f ca="1">'预评函-3'!E4</f>
        <v>24531</v>
      </c>
    </row>
    <row r="49" spans="1:2">
      <c r="A49" s="1118" t="s">
        <v>550</v>
      </c>
      <c r="B49" s="1119" t="str">
        <f ca="1">'预评函-3'!D5</f>
        <v>叁拾肆亿贰仟壹佰叁拾万元整</v>
      </c>
    </row>
    <row r="50" spans="1:2">
      <c r="A50" s="1118" t="s">
        <v>574</v>
      </c>
      <c r="B50" s="1119" t="str">
        <f>'预评函-3'!F2</f>
        <v>在建建筑物价值</v>
      </c>
    </row>
    <row r="51" spans="1:2">
      <c r="A51" s="1118" t="s">
        <v>551</v>
      </c>
      <c r="B51" s="1119">
        <f ca="1">'预评函-3'!F4</f>
        <v>50221</v>
      </c>
    </row>
    <row r="52" spans="1:2">
      <c r="A52" s="1118" t="s">
        <v>552</v>
      </c>
      <c r="B52" s="1119">
        <f ca="1">'预评函-3'!G4</f>
        <v>3601</v>
      </c>
    </row>
    <row r="53" spans="1:2">
      <c r="A53" s="1118" t="s">
        <v>580</v>
      </c>
      <c r="B53" s="1119" t="str">
        <f ca="1">'预评函-3'!F5</f>
        <v>伍亿零贰佰贰拾壹万元整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3336</v>
      </c>
    </row>
    <row r="8" spans="1:23">
      <c r="A8" s="1440" t="s">
        <v>1026</v>
      </c>
      <c r="B8" s="1440" t="s">
        <v>1027</v>
      </c>
      <c r="C8" s="1441" t="s">
        <v>319</v>
      </c>
      <c r="F8" s="1442" t="s">
        <v>1028</v>
      </c>
      <c r="H8" s="1442" t="s">
        <v>2571</v>
      </c>
      <c r="I8" s="1442" t="s">
        <v>3337</v>
      </c>
    </row>
    <row r="9" spans="1:23">
      <c r="A9" s="1440" t="s">
        <v>1029</v>
      </c>
      <c r="B9" s="1440" t="s">
        <v>1030</v>
      </c>
      <c r="C9" s="1441" t="s">
        <v>320</v>
      </c>
      <c r="F9" s="1442" t="s">
        <v>1031</v>
      </c>
      <c r="H9" s="1442"/>
      <c r="I9" s="1444" t="s">
        <v>3338</v>
      </c>
    </row>
    <row r="10" spans="1:23">
      <c r="A10" s="1440" t="s">
        <v>1032</v>
      </c>
      <c r="B10" s="1440" t="s">
        <v>1033</v>
      </c>
      <c r="C10" s="1441" t="s">
        <v>321</v>
      </c>
      <c r="F10" s="1442" t="s">
        <v>2572</v>
      </c>
      <c r="I10" s="1444" t="s">
        <v>3339</v>
      </c>
    </row>
    <row r="11" spans="1:23">
      <c r="A11" s="1440" t="s">
        <v>1034</v>
      </c>
      <c r="B11" s="1440" t="s">
        <v>1035</v>
      </c>
      <c r="C11" s="1441" t="s">
        <v>322</v>
      </c>
      <c r="F11" s="1442" t="s">
        <v>13</v>
      </c>
      <c r="I11" s="1444" t="s">
        <v>3340</v>
      </c>
    </row>
    <row r="12" spans="1:23">
      <c r="A12" s="1440" t="s">
        <v>1036</v>
      </c>
      <c r="B12" s="1440" t="s">
        <v>1037</v>
      </c>
      <c r="C12" s="1441" t="s">
        <v>323</v>
      </c>
      <c r="I12" s="1444" t="s">
        <v>3341</v>
      </c>
    </row>
    <row r="13" spans="1:23">
      <c r="A13" s="1440" t="s">
        <v>1038</v>
      </c>
      <c r="B13" s="1440" t="s">
        <v>1039</v>
      </c>
      <c r="C13" s="1441" t="s">
        <v>324</v>
      </c>
      <c r="I13" s="1444" t="s">
        <v>3342</v>
      </c>
    </row>
    <row r="14" spans="1:23">
      <c r="A14" s="1440" t="s">
        <v>1040</v>
      </c>
      <c r="B14" s="1440" t="s">
        <v>1041</v>
      </c>
      <c r="C14" s="1442" t="s">
        <v>13</v>
      </c>
      <c r="I14" s="1444" t="s">
        <v>3343</v>
      </c>
    </row>
    <row r="15" spans="1:23">
      <c r="A15" s="1440" t="s">
        <v>1042</v>
      </c>
      <c r="B15" s="1440" t="s">
        <v>1043</v>
      </c>
      <c r="C15" s="1441"/>
      <c r="I15" s="1444" t="s">
        <v>3344</v>
      </c>
    </row>
    <row r="16" spans="1:23">
      <c r="A16" s="1440" t="s">
        <v>1044</v>
      </c>
      <c r="B16" s="1440" t="s">
        <v>312</v>
      </c>
      <c r="C16" s="1441"/>
    </row>
    <row r="17" spans="1:3">
      <c r="A17" s="1440" t="s">
        <v>1045</v>
      </c>
      <c r="B17" s="1440" t="s">
        <v>2285</v>
      </c>
      <c r="C17" s="1441"/>
    </row>
    <row r="18" spans="1:3">
      <c r="A18" s="1440" t="s">
        <v>1046</v>
      </c>
      <c r="B18" s="1440" t="s">
        <v>2427</v>
      </c>
      <c r="C18" s="1441"/>
    </row>
    <row r="19" spans="1:3">
      <c r="A19" s="1440" t="s">
        <v>1047</v>
      </c>
      <c r="B19" s="1440" t="s">
        <v>3702</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金路7号院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0" workbookViewId="0">
      <selection activeCell="G20" sqref="G20"/>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2494</v>
      </c>
      <c r="B1" s="2754"/>
      <c r="C1" s="2754"/>
      <c r="D1" s="2754"/>
      <c r="E1" s="2754"/>
      <c r="F1" s="2755"/>
      <c r="I1" s="3132" t="s">
        <v>2587</v>
      </c>
      <c r="J1" s="2780"/>
      <c r="K1" s="2780"/>
      <c r="L1" s="2780"/>
      <c r="M1" s="2780"/>
      <c r="N1" s="2965"/>
      <c r="O1" s="2965"/>
      <c r="P1" s="2965"/>
      <c r="Q1" s="2965"/>
      <c r="R1" s="2965"/>
    </row>
    <row r="2" spans="1:18">
      <c r="A2" s="2757"/>
      <c r="B2" s="2758"/>
      <c r="C2" s="2758"/>
      <c r="D2" s="2758"/>
      <c r="E2" s="2758"/>
      <c r="F2" s="2759"/>
      <c r="I2" s="3214" t="s">
        <v>2574</v>
      </c>
      <c r="J2" s="3214"/>
      <c r="K2" s="3214"/>
      <c r="L2" s="3214"/>
      <c r="M2" s="3214"/>
      <c r="N2" s="3214"/>
      <c r="O2" s="3214"/>
      <c r="P2" s="3214"/>
      <c r="Q2" s="3214"/>
      <c r="R2" s="3214"/>
    </row>
    <row r="3" spans="1:18">
      <c r="A3" s="2760" t="s">
        <v>2495</v>
      </c>
      <c r="B3" s="2761">
        <f>项目基本情况!D3</f>
        <v>45596</v>
      </c>
      <c r="C3" s="2763"/>
      <c r="D3" s="2763"/>
      <c r="E3" s="2763"/>
      <c r="F3" s="2759"/>
      <c r="I3" s="2775"/>
      <c r="J3" s="2775" t="s">
        <v>2578</v>
      </c>
      <c r="K3" s="2775" t="s">
        <v>2579</v>
      </c>
      <c r="L3" s="2775" t="s">
        <v>2580</v>
      </c>
      <c r="M3" s="2775" t="s">
        <v>2581</v>
      </c>
      <c r="N3" s="3133" t="s">
        <v>2582</v>
      </c>
      <c r="O3" s="3133" t="s">
        <v>2583</v>
      </c>
      <c r="P3" s="3133" t="s">
        <v>2584</v>
      </c>
      <c r="Q3" s="3133" t="s">
        <v>2585</v>
      </c>
      <c r="R3" s="3133" t="s">
        <v>2586</v>
      </c>
    </row>
    <row r="4" spans="1:18">
      <c r="A4" s="2760" t="s">
        <v>2496</v>
      </c>
      <c r="B4" s="2763" t="s">
        <v>2497</v>
      </c>
      <c r="C4" s="2763" t="s">
        <v>2498</v>
      </c>
      <c r="D4" s="2763" t="s">
        <v>2499</v>
      </c>
      <c r="E4" s="2763" t="s">
        <v>2500</v>
      </c>
      <c r="F4" s="2759"/>
      <c r="I4" s="2775" t="s">
        <v>2575</v>
      </c>
      <c r="J4" s="2775">
        <v>80</v>
      </c>
      <c r="K4" s="2775">
        <v>70</v>
      </c>
      <c r="L4" s="2775">
        <v>20</v>
      </c>
      <c r="M4" s="2775">
        <v>30</v>
      </c>
      <c r="N4" s="2763">
        <v>45</v>
      </c>
      <c r="O4" s="2763">
        <v>60</v>
      </c>
      <c r="P4" s="2763">
        <v>50</v>
      </c>
      <c r="Q4" s="2763">
        <v>20</v>
      </c>
      <c r="R4" s="2763">
        <v>375</v>
      </c>
    </row>
    <row r="5" spans="1:18">
      <c r="A5" s="2764">
        <v>40</v>
      </c>
      <c r="B5" s="2761">
        <v>46375</v>
      </c>
      <c r="C5" s="2763">
        <f>ROUNDDOWN(MIN((B5-B3)/365,A5),2)</f>
        <v>2.13</v>
      </c>
      <c r="D5" s="2765">
        <f>IF(ISERROR(ROUND(POWER(1+E5,A5-C5)*(POWER(1+E5,C5)-1)/(POWER(1+E5,A5)-1),3)),0,ROUND(POWER(1+E5,A5-C5)*(POWER(1+E5,C5)-1)/(POWER(1+E5,A5)-1),4))</f>
        <v>0.1012</v>
      </c>
      <c r="E5" s="2766">
        <v>0.04</v>
      </c>
      <c r="F5" s="2759"/>
      <c r="I5" s="2775" t="s">
        <v>2576</v>
      </c>
      <c r="J5" s="2775">
        <v>70</v>
      </c>
      <c r="K5" s="2775">
        <v>60</v>
      </c>
      <c r="L5" s="2775">
        <v>15</v>
      </c>
      <c r="M5" s="2775">
        <v>25</v>
      </c>
      <c r="N5" s="2763">
        <v>40</v>
      </c>
      <c r="O5" s="2763">
        <v>50</v>
      </c>
      <c r="P5" s="2763">
        <v>40</v>
      </c>
      <c r="Q5" s="2763">
        <v>15</v>
      </c>
      <c r="R5" s="2763">
        <v>315</v>
      </c>
    </row>
    <row r="6" spans="1:18">
      <c r="A6" s="2764">
        <v>50</v>
      </c>
      <c r="B6" s="2761">
        <v>50028</v>
      </c>
      <c r="C6" s="2763">
        <f>ROUNDDOWN(MIN((B6-B3)/365,A6),2)</f>
        <v>12.14</v>
      </c>
      <c r="D6" s="2765">
        <f>IF(ISERROR(ROUND(POWER(1+E6,A6-C6)*(POWER(1+E6,C6)-1)/(POWER(1+E6,A6)-1),3)),0,ROUND(POWER(1+E6,A6-C6)*(POWER(1+E6,C6)-1)/(POWER(1+E6,A6)-1),4))</f>
        <v>0.44090000000000001</v>
      </c>
      <c r="E6" s="2766">
        <v>0.04</v>
      </c>
      <c r="F6" s="2759"/>
      <c r="I6" s="2775" t="s">
        <v>2577</v>
      </c>
      <c r="J6" s="2775">
        <v>60</v>
      </c>
      <c r="K6" s="2775">
        <v>50</v>
      </c>
      <c r="L6" s="2775">
        <v>10</v>
      </c>
      <c r="M6" s="2775">
        <v>20</v>
      </c>
      <c r="N6" s="2763">
        <v>35</v>
      </c>
      <c r="O6" s="2763">
        <v>40</v>
      </c>
      <c r="P6" s="2763">
        <v>30</v>
      </c>
      <c r="Q6" s="2763">
        <v>10</v>
      </c>
      <c r="R6" s="2763">
        <v>255</v>
      </c>
    </row>
    <row r="7" spans="1:18">
      <c r="A7" s="2764">
        <v>70</v>
      </c>
      <c r="B7" s="2761">
        <v>57333</v>
      </c>
      <c r="C7" s="2763">
        <f>ROUNDDOWN(MIN((B7-B3)/365,A7),2)</f>
        <v>32.15</v>
      </c>
      <c r="D7" s="2765">
        <f>IF(ISERROR(ROUND(POWER(1+E7,A7-C7)*(POWER(1+E7,C7)-1)/(POWER(1+E7,A7)-1),3)),0,ROUND(POWER(1+E7,A7-C7)*(POWER(1+E7,C7)-1)/(POWER(1+E7,A7)-1),4))</f>
        <v>0.76580000000000004</v>
      </c>
      <c r="E7" s="2766">
        <v>0.04</v>
      </c>
      <c r="F7" s="2759"/>
    </row>
    <row r="8" spans="1:18">
      <c r="A8" s="2757"/>
      <c r="B8" s="2758"/>
      <c r="C8" s="2758"/>
      <c r="D8" s="2758"/>
      <c r="E8" s="2758"/>
      <c r="F8" s="2759"/>
    </row>
    <row r="9" spans="1:18">
      <c r="A9" s="2760" t="s">
        <v>2501</v>
      </c>
      <c r="B9" s="2763"/>
      <c r="C9" s="2763"/>
      <c r="D9" s="2763"/>
      <c r="E9" s="2763"/>
      <c r="F9" s="2767"/>
    </row>
    <row r="10" spans="1:18">
      <c r="A10" s="2760" t="s">
        <v>2502</v>
      </c>
      <c r="B10" s="2763"/>
      <c r="C10" s="2763"/>
      <c r="D10" s="2763" t="s">
        <v>2500</v>
      </c>
      <c r="E10" s="2763"/>
      <c r="F10" s="2767" t="s">
        <v>2499</v>
      </c>
    </row>
    <row r="11" spans="1:18">
      <c r="A11" s="2760" t="s">
        <v>2503</v>
      </c>
      <c r="B11" s="2768">
        <v>70</v>
      </c>
      <c r="C11" s="2763" t="s">
        <v>2504</v>
      </c>
      <c r="D11" s="2768">
        <v>4.4999999999999998E-2</v>
      </c>
      <c r="E11" s="2763" t="s">
        <v>2505</v>
      </c>
      <c r="F11" s="2769">
        <f>ROUND(1-(1/(POWER(1+D11,B11))),4)</f>
        <v>0.95409999999999995</v>
      </c>
    </row>
    <row r="12" spans="1:18">
      <c r="A12" s="2760" t="s">
        <v>2506</v>
      </c>
      <c r="B12" s="2768">
        <v>40</v>
      </c>
      <c r="C12" s="2763" t="s">
        <v>2507</v>
      </c>
      <c r="D12" s="2768">
        <v>4.4999999999999998E-2</v>
      </c>
      <c r="E12" s="2763" t="s">
        <v>2508</v>
      </c>
      <c r="F12" s="2769">
        <f>ROUND(1-(1/(POWER(1+D12,B12))),4)</f>
        <v>0.82809999999999995</v>
      </c>
    </row>
    <row r="13" spans="1:18">
      <c r="A13" s="2760" t="s">
        <v>2509</v>
      </c>
      <c r="B13" s="2763"/>
      <c r="C13" s="2763"/>
      <c r="D13" s="2758"/>
      <c r="E13" s="2758"/>
      <c r="F13" s="2759"/>
    </row>
    <row r="14" spans="1:18">
      <c r="A14" s="2760" t="s">
        <v>2510</v>
      </c>
      <c r="B14" s="2768">
        <v>5000</v>
      </c>
      <c r="C14" s="2762"/>
      <c r="D14" s="2758"/>
      <c r="E14" s="2758"/>
      <c r="F14" s="2759"/>
    </row>
    <row r="15" spans="1:18">
      <c r="A15" s="2760" t="s">
        <v>2511</v>
      </c>
      <c r="B15" s="2763">
        <f>ROUND(B14*F12/F11,2)</f>
        <v>4339.6899999999996</v>
      </c>
      <c r="C15" s="2763">
        <f>ROUND(F12/F11,4)</f>
        <v>0.8679</v>
      </c>
      <c r="D15" s="2758"/>
      <c r="E15" s="2758"/>
      <c r="F15" s="2759"/>
    </row>
    <row r="16" spans="1:18">
      <c r="A16" s="2760" t="s">
        <v>2512</v>
      </c>
      <c r="B16" s="2763"/>
      <c r="C16" s="2763"/>
      <c r="D16" s="2758"/>
      <c r="E16" s="2758"/>
      <c r="F16" s="2759"/>
    </row>
    <row r="17" spans="1:13">
      <c r="A17" s="2760" t="s">
        <v>2511</v>
      </c>
      <c r="B17" s="2768">
        <v>4810</v>
      </c>
      <c r="C17" s="2762"/>
      <c r="D17" s="2758"/>
      <c r="E17" s="2758"/>
      <c r="F17" s="2759"/>
    </row>
    <row r="18" spans="1:13" ht="14.25" thickBot="1">
      <c r="A18" s="2770" t="s">
        <v>2510</v>
      </c>
      <c r="B18" s="2771">
        <f>ROUND(B17*F11/F12,2)</f>
        <v>5541.87</v>
      </c>
      <c r="C18" s="2771">
        <f>ROUND(F11/F12,4)</f>
        <v>1.1521999999999999</v>
      </c>
      <c r="D18" s="2772"/>
      <c r="E18" s="2772"/>
      <c r="F18" s="2773"/>
    </row>
    <row r="19" spans="1:13" ht="14.25" thickBot="1"/>
    <row r="20" spans="1:13" s="2806" customFormat="1" ht="14.25" thickTop="1">
      <c r="A20" s="2803" t="s">
        <v>2513</v>
      </c>
      <c r="B20" s="2804"/>
      <c r="C20" s="2804"/>
      <c r="D20" s="2804"/>
      <c r="E20" s="2804"/>
      <c r="F20" s="2804"/>
      <c r="G20" s="2805"/>
      <c r="I20" s="2807" t="s">
        <v>2558</v>
      </c>
      <c r="J20" s="2807" t="s">
        <v>2563</v>
      </c>
      <c r="K20" s="2807"/>
      <c r="L20" s="2807"/>
      <c r="M20" s="2807"/>
    </row>
    <row r="21" spans="1:13">
      <c r="A21" s="2774"/>
      <c r="B21" s="2775" t="s">
        <v>2514</v>
      </c>
      <c r="C21" s="2775" t="s">
        <v>2515</v>
      </c>
      <c r="D21" s="2775" t="s">
        <v>2516</v>
      </c>
      <c r="E21" s="2775" t="s">
        <v>2517</v>
      </c>
      <c r="F21" s="2775" t="s">
        <v>2518</v>
      </c>
      <c r="G21" s="2776" t="s">
        <v>2519</v>
      </c>
      <c r="I21" s="2797">
        <v>5</v>
      </c>
      <c r="J21" s="2797">
        <v>54.2</v>
      </c>
    </row>
    <row r="22" spans="1:13">
      <c r="A22" s="2774" t="s">
        <v>2520</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2521</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2561</v>
      </c>
      <c r="M23" s="2797" t="s">
        <v>2562</v>
      </c>
    </row>
    <row r="24" spans="1:13">
      <c r="A24" s="2774" t="s">
        <v>2522</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2560</v>
      </c>
      <c r="M24" s="2797">
        <v>10</v>
      </c>
    </row>
    <row r="25" spans="1:13">
      <c r="A25" s="2774" t="s">
        <v>2523</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2564</v>
      </c>
      <c r="M25" s="2797">
        <v>8</v>
      </c>
    </row>
    <row r="26" spans="1:13">
      <c r="A26" s="2779"/>
      <c r="B26" s="2780"/>
      <c r="C26" s="2780"/>
      <c r="D26" s="2780"/>
      <c r="E26" s="2780"/>
      <c r="F26" s="2780"/>
      <c r="G26" s="2781"/>
      <c r="I26" s="2797">
        <v>30</v>
      </c>
      <c r="J26" s="2797">
        <v>90.5</v>
      </c>
      <c r="K26" s="2797">
        <f t="shared" si="2"/>
        <v>4.2000000000000028</v>
      </c>
      <c r="L26" s="2797" t="s">
        <v>2565</v>
      </c>
      <c r="M26" s="2797">
        <v>5</v>
      </c>
    </row>
    <row r="27" spans="1:13">
      <c r="A27" s="2779" t="s">
        <v>2524</v>
      </c>
      <c r="B27" s="2780"/>
      <c r="C27" s="2780"/>
      <c r="D27" s="2780"/>
      <c r="E27" s="2780"/>
      <c r="F27" s="2780"/>
      <c r="G27" s="2781"/>
      <c r="I27" s="2797">
        <v>35</v>
      </c>
      <c r="J27" s="2797">
        <v>93.8</v>
      </c>
      <c r="K27" s="2797">
        <f t="shared" si="2"/>
        <v>3.2999999999999972</v>
      </c>
      <c r="L27" s="2797" t="s">
        <v>2566</v>
      </c>
      <c r="M27" s="2797">
        <v>3</v>
      </c>
    </row>
    <row r="28" spans="1:13">
      <c r="A28" s="2779" t="s">
        <v>2525</v>
      </c>
      <c r="B28" s="2780"/>
      <c r="C28" s="2780"/>
      <c r="D28" s="2780"/>
      <c r="E28" s="2780"/>
      <c r="F28" s="2780"/>
      <c r="G28" s="2781"/>
      <c r="I28" s="2797">
        <v>40</v>
      </c>
      <c r="J28" s="2797">
        <v>96.4</v>
      </c>
      <c r="K28" s="2797">
        <f t="shared" si="2"/>
        <v>2.6000000000000085</v>
      </c>
      <c r="L28" s="2797" t="s">
        <v>2567</v>
      </c>
      <c r="M28" s="2797">
        <v>2</v>
      </c>
    </row>
    <row r="29" spans="1:13">
      <c r="A29" s="2779" t="s">
        <v>2526</v>
      </c>
      <c r="B29" s="2780"/>
      <c r="C29" s="2780"/>
      <c r="D29" s="2780"/>
      <c r="E29" s="2780"/>
      <c r="F29" s="2780"/>
      <c r="G29" s="2781"/>
      <c r="I29" s="2797">
        <v>45</v>
      </c>
      <c r="J29" s="2797">
        <v>98.4</v>
      </c>
      <c r="K29" s="2797">
        <f t="shared" si="2"/>
        <v>2</v>
      </c>
    </row>
    <row r="30" spans="1:13">
      <c r="A30" s="2779" t="s">
        <v>2527</v>
      </c>
      <c r="B30" s="2780"/>
      <c r="C30" s="2780"/>
      <c r="D30" s="2780"/>
      <c r="E30" s="2780"/>
      <c r="F30" s="2780"/>
      <c r="G30" s="2781"/>
      <c r="I30" s="2797">
        <v>50</v>
      </c>
      <c r="J30" s="2797">
        <v>100</v>
      </c>
      <c r="K30" s="2797">
        <f t="shared" si="2"/>
        <v>1.5999999999999943</v>
      </c>
    </row>
    <row r="31" spans="1:13">
      <c r="A31" s="2779" t="s">
        <v>2528</v>
      </c>
      <c r="B31" s="2780"/>
      <c r="C31" s="2780"/>
      <c r="D31" s="2780"/>
      <c r="E31" s="2780"/>
      <c r="F31" s="2780"/>
      <c r="G31" s="2781"/>
      <c r="I31" s="2797" t="s">
        <v>2559</v>
      </c>
    </row>
    <row r="32" spans="1:13">
      <c r="A32" s="2779" t="s">
        <v>2529</v>
      </c>
      <c r="B32" s="2780"/>
      <c r="C32" s="2780"/>
      <c r="D32" s="2780"/>
      <c r="E32" s="2780"/>
      <c r="F32" s="2780"/>
      <c r="G32" s="2781"/>
    </row>
    <row r="33" spans="1:13">
      <c r="A33" s="2779" t="s">
        <v>2530</v>
      </c>
      <c r="B33" s="2780"/>
      <c r="C33" s="2780"/>
      <c r="D33" s="2780"/>
      <c r="E33" s="2780"/>
      <c r="F33" s="2780"/>
      <c r="G33" s="2781"/>
      <c r="I33" s="2797" t="s">
        <v>2558</v>
      </c>
      <c r="J33" s="2797" t="s">
        <v>2568</v>
      </c>
    </row>
    <row r="34" spans="1:13">
      <c r="A34" s="2779" t="s">
        <v>2531</v>
      </c>
      <c r="B34" s="2780"/>
      <c r="C34" s="2780"/>
      <c r="D34" s="2780"/>
      <c r="E34" s="2780"/>
      <c r="F34" s="2780"/>
      <c r="G34" s="2781"/>
      <c r="I34" s="2797">
        <v>5</v>
      </c>
      <c r="J34" s="2797">
        <v>55.1</v>
      </c>
    </row>
    <row r="35" spans="1:13">
      <c r="A35" s="2779" t="s">
        <v>2532</v>
      </c>
      <c r="B35" s="2780"/>
      <c r="C35" s="2780"/>
      <c r="D35" s="2780"/>
      <c r="E35" s="2780"/>
      <c r="F35" s="2780"/>
      <c r="G35" s="2781"/>
      <c r="I35" s="2797">
        <v>10</v>
      </c>
      <c r="J35" s="2797">
        <v>67</v>
      </c>
      <c r="K35" s="2797">
        <f>J35-J34</f>
        <v>11.899999999999999</v>
      </c>
    </row>
    <row r="36" spans="1:13">
      <c r="A36" s="2779" t="s">
        <v>2533</v>
      </c>
      <c r="B36" s="2780"/>
      <c r="C36" s="2780"/>
      <c r="D36" s="2780"/>
      <c r="E36" s="2780"/>
      <c r="F36" s="2780"/>
      <c r="G36" s="2781"/>
      <c r="I36" s="2797">
        <v>15</v>
      </c>
      <c r="J36" s="2797">
        <v>76.3</v>
      </c>
      <c r="K36" s="2797">
        <f t="shared" ref="K36:K41" si="3">J36-J35</f>
        <v>9.2999999999999972</v>
      </c>
      <c r="L36" s="2797" t="s">
        <v>2561</v>
      </c>
      <c r="M36" s="2797" t="s">
        <v>2562</v>
      </c>
    </row>
    <row r="37" spans="1:13">
      <c r="A37" s="2779" t="s">
        <v>2534</v>
      </c>
      <c r="B37" s="2780"/>
      <c r="C37" s="2780"/>
      <c r="D37" s="2780"/>
      <c r="E37" s="2780"/>
      <c r="F37" s="2780"/>
      <c r="G37" s="2781"/>
      <c r="I37" s="2797">
        <v>20</v>
      </c>
      <c r="J37" s="2797">
        <v>83.6</v>
      </c>
      <c r="K37" s="2797">
        <f t="shared" si="3"/>
        <v>7.2999999999999972</v>
      </c>
      <c r="L37" s="2797" t="s">
        <v>2560</v>
      </c>
      <c r="M37" s="2797">
        <v>10</v>
      </c>
    </row>
    <row r="38" spans="1:13">
      <c r="A38" s="2779" t="s">
        <v>2535</v>
      </c>
      <c r="B38" s="2780"/>
      <c r="C38" s="2780"/>
      <c r="D38" s="2780"/>
      <c r="E38" s="2780"/>
      <c r="F38" s="2780"/>
      <c r="G38" s="2781"/>
      <c r="I38" s="2797">
        <v>25</v>
      </c>
      <c r="J38" s="2797">
        <v>89.3</v>
      </c>
      <c r="K38" s="2797">
        <f t="shared" si="3"/>
        <v>5.7000000000000028</v>
      </c>
      <c r="L38" s="2797" t="s">
        <v>2564</v>
      </c>
      <c r="M38" s="2797">
        <v>8</v>
      </c>
    </row>
    <row r="39" spans="1:13">
      <c r="A39" s="2779"/>
      <c r="B39" s="2780"/>
      <c r="C39" s="2780"/>
      <c r="D39" s="2780"/>
      <c r="E39" s="2780"/>
      <c r="F39" s="2780"/>
      <c r="G39" s="2781"/>
      <c r="I39" s="2797">
        <v>30</v>
      </c>
      <c r="J39" s="2797">
        <v>93.8</v>
      </c>
      <c r="K39" s="2797">
        <f t="shared" si="3"/>
        <v>4.5</v>
      </c>
      <c r="L39" s="2797" t="s">
        <v>2565</v>
      </c>
      <c r="M39" s="2797">
        <v>6</v>
      </c>
    </row>
    <row r="40" spans="1:13">
      <c r="A40" s="2782" t="s">
        <v>2536</v>
      </c>
      <c r="B40" s="2783"/>
      <c r="C40" s="2783"/>
      <c r="D40" s="2783"/>
      <c r="E40" s="2783"/>
      <c r="F40" s="2783"/>
      <c r="G40" s="2784"/>
      <c r="I40" s="2797">
        <v>35</v>
      </c>
      <c r="J40" s="2797">
        <v>97.2</v>
      </c>
      <c r="K40" s="2797">
        <f t="shared" si="3"/>
        <v>3.4000000000000057</v>
      </c>
      <c r="L40" s="2797" t="s">
        <v>2566</v>
      </c>
      <c r="M40" s="2797">
        <v>3</v>
      </c>
    </row>
    <row r="41" spans="1:13">
      <c r="A41" s="2785" t="s">
        <v>2537</v>
      </c>
      <c r="B41" s="2786" t="s">
        <v>2538</v>
      </c>
      <c r="C41" s="2787" t="s">
        <v>2539</v>
      </c>
      <c r="D41" s="2787" t="s">
        <v>2540</v>
      </c>
      <c r="E41" s="2788"/>
      <c r="F41" s="2789"/>
      <c r="G41" s="2790"/>
      <c r="I41" s="2797">
        <v>40</v>
      </c>
      <c r="J41" s="2797">
        <v>100</v>
      </c>
      <c r="K41" s="2797">
        <f t="shared" si="3"/>
        <v>2.7999999999999972</v>
      </c>
    </row>
    <row r="42" spans="1:13">
      <c r="A42" s="2785" t="s">
        <v>2541</v>
      </c>
      <c r="B42" s="2786" t="s">
        <v>2542</v>
      </c>
      <c r="C42" s="2787" t="s">
        <v>2543</v>
      </c>
      <c r="D42" s="2791" t="s">
        <v>2544</v>
      </c>
      <c r="E42" s="2783" t="s">
        <v>2545</v>
      </c>
      <c r="F42" s="2783"/>
      <c r="G42" s="2784"/>
    </row>
    <row r="43" spans="1:13">
      <c r="A43" s="2785" t="s">
        <v>2546</v>
      </c>
      <c r="B43" s="2786" t="s">
        <v>2547</v>
      </c>
      <c r="C43" s="2787" t="s">
        <v>2548</v>
      </c>
      <c r="D43" s="2787" t="s">
        <v>2549</v>
      </c>
      <c r="E43" s="2788" t="s">
        <v>2550</v>
      </c>
      <c r="F43" s="2789"/>
      <c r="G43" s="2790"/>
      <c r="I43" s="2797" t="s">
        <v>2558</v>
      </c>
      <c r="J43" s="2797" t="s">
        <v>2569</v>
      </c>
    </row>
    <row r="44" spans="1:13">
      <c r="A44" s="2785" t="s">
        <v>2551</v>
      </c>
      <c r="B44" s="2786" t="s">
        <v>2552</v>
      </c>
      <c r="C44" s="2787" t="s">
        <v>2553</v>
      </c>
      <c r="D44" s="2791">
        <v>0.5</v>
      </c>
      <c r="E44" s="2788" t="s">
        <v>2554</v>
      </c>
      <c r="F44" s="2789"/>
      <c r="G44" s="2790"/>
      <c r="I44" s="2797">
        <v>30</v>
      </c>
      <c r="J44" s="2797">
        <v>81.7</v>
      </c>
    </row>
    <row r="45" spans="1:13" ht="14.25" thickBot="1">
      <c r="A45" s="2792" t="s">
        <v>2555</v>
      </c>
      <c r="B45" s="2793" t="s">
        <v>2542</v>
      </c>
      <c r="C45" s="2794" t="s">
        <v>2542</v>
      </c>
      <c r="D45" s="2794" t="s">
        <v>2556</v>
      </c>
      <c r="E45" s="2795" t="s">
        <v>2557</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4" sqref="K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2164</v>
      </c>
      <c r="B1" s="3222" t="str">
        <f>IF(B10="北京市","北京市",C10)&amp;F10&amp;IF(结果表!G1="在建","出让国有建设用地使用权及在建建筑物",IF(结果表!G1="土地","出让国有建设用地使用权",))&amp;B9&amp;"预评估"</f>
        <v>北京市昌平区南金路7号院出让国有建设用地使用权及在建建筑物房地产市场价值预评估</v>
      </c>
      <c r="C1" s="3223"/>
      <c r="D1" s="3223"/>
      <c r="E1" s="3223"/>
      <c r="F1" s="3223"/>
      <c r="G1" s="3223"/>
      <c r="H1" s="3223"/>
      <c r="I1" s="322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北京市昌平区南金路7号院出让国有建设用地使用权及在建建筑物房地产抵押价值</v>
      </c>
      <c r="T1" s="1617"/>
      <c r="U1" s="1617"/>
      <c r="V1" s="1617"/>
      <c r="W1" s="1617"/>
      <c r="X1" s="1617"/>
      <c r="Y1" s="1617"/>
      <c r="Z1" s="1617"/>
      <c r="AA1" s="1617"/>
      <c r="AB1" s="1617"/>
    </row>
    <row r="2" spans="1:30">
      <c r="A2" s="2181" t="s">
        <v>2165</v>
      </c>
      <c r="B2" s="122"/>
      <c r="D2" s="2445"/>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北京市昌平区南金路7号院出让国有建设用地使用权及在建建筑物房地产</v>
      </c>
      <c r="T2" s="1617"/>
      <c r="U2" s="1617"/>
      <c r="V2" s="1617"/>
      <c r="W2" s="1617"/>
      <c r="X2" s="1617"/>
      <c r="Y2" s="1617"/>
      <c r="Z2" s="1617"/>
      <c r="AA2" s="1617"/>
      <c r="AB2" s="1617"/>
    </row>
    <row r="3" spans="1:30">
      <c r="A3" s="294" t="s">
        <v>2166</v>
      </c>
      <c r="B3" s="2184">
        <v>45603</v>
      </c>
      <c r="C3" s="2185" t="s">
        <v>2167</v>
      </c>
      <c r="D3" s="2184">
        <v>45596</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2169</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2170</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2171</v>
      </c>
      <c r="B7" s="2197"/>
      <c r="C7" s="2195"/>
      <c r="D7" s="2196"/>
      <c r="E7" s="2438"/>
      <c r="F7" s="2439"/>
      <c r="G7" s="2439"/>
      <c r="H7" s="2439"/>
      <c r="I7" s="2439"/>
      <c r="J7" s="2244"/>
      <c r="K7" s="2399"/>
      <c r="L7" s="2396"/>
      <c r="M7" s="2396"/>
      <c r="N7" s="2244"/>
      <c r="O7" s="1669"/>
      <c r="P7" s="2244"/>
      <c r="Q7" s="2244"/>
      <c r="R7" s="2244"/>
    </row>
    <row r="8" spans="1:30">
      <c r="A8" s="2198" t="s">
        <v>2172</v>
      </c>
      <c r="B8" s="2199" t="s">
        <v>3382</v>
      </c>
      <c r="C8" s="2200"/>
      <c r="D8" s="3225" t="s">
        <v>2173</v>
      </c>
      <c r="E8" s="2201"/>
      <c r="F8" s="2202"/>
      <c r="G8" s="2439"/>
      <c r="H8" s="2439"/>
      <c r="I8" s="2439"/>
      <c r="J8" s="2244"/>
      <c r="K8" s="2397"/>
      <c r="L8" s="2396"/>
      <c r="M8" s="2396"/>
      <c r="N8" s="2244"/>
      <c r="O8" s="1669"/>
      <c r="P8" s="2244"/>
      <c r="Q8" s="2244"/>
      <c r="R8" s="2244"/>
    </row>
    <row r="9" spans="1:30" ht="13.5" thickBot="1">
      <c r="A9" s="2203" t="s">
        <v>2174</v>
      </c>
      <c r="B9" s="2204" t="s">
        <v>3383</v>
      </c>
      <c r="C9" s="2205"/>
      <c r="D9" s="3226"/>
      <c r="E9" s="2204"/>
      <c r="F9" s="2206"/>
      <c r="G9" s="2440"/>
      <c r="H9" s="2440"/>
      <c r="I9" s="2440"/>
      <c r="J9" s="2244"/>
      <c r="K9" s="2399"/>
      <c r="L9" s="2396"/>
      <c r="M9" s="2396"/>
      <c r="N9" s="2244"/>
      <c r="O9" s="1669"/>
      <c r="P9" s="2244"/>
      <c r="Q9" s="2244"/>
      <c r="R9" s="2244"/>
    </row>
    <row r="10" spans="1:30" ht="13.5" thickTop="1">
      <c r="A10" s="2207" t="s">
        <v>2175</v>
      </c>
      <c r="B10" s="2208" t="s">
        <v>3384</v>
      </c>
      <c r="C10" s="2209"/>
      <c r="D10" s="2192"/>
      <c r="E10" s="2210" t="s">
        <v>2176</v>
      </c>
      <c r="F10" s="2441" t="s">
        <v>3386</v>
      </c>
      <c r="G10" s="2442"/>
      <c r="H10" s="2443"/>
      <c r="I10" s="2444"/>
      <c r="J10" s="2244"/>
      <c r="K10" s="2399"/>
      <c r="L10" s="2396"/>
      <c r="M10" s="2396"/>
      <c r="N10" s="2244"/>
      <c r="O10" s="1669"/>
      <c r="P10" s="2244"/>
      <c r="Q10" s="2244"/>
      <c r="R10" s="2244"/>
    </row>
    <row r="11" spans="1:30">
      <c r="A11" s="2211" t="s">
        <v>2177</v>
      </c>
      <c r="B11" s="2212" t="s">
        <v>3385</v>
      </c>
      <c r="C11" s="2213"/>
      <c r="D11" s="2214"/>
      <c r="E11" s="2181"/>
      <c r="F11" s="2181"/>
      <c r="G11" s="2181"/>
      <c r="H11" s="2181"/>
      <c r="I11" s="2181"/>
      <c r="J11" s="2799"/>
      <c r="K11" s="2396"/>
      <c r="L11" s="2396"/>
      <c r="M11" s="2396"/>
      <c r="N11" s="2244"/>
      <c r="O11" s="1669"/>
      <c r="P11" s="2244"/>
      <c r="Q11" s="2244"/>
      <c r="R11" s="2244"/>
    </row>
    <row r="12" spans="1:30">
      <c r="A12" s="2215" t="s">
        <v>2178</v>
      </c>
      <c r="B12" s="315" t="s">
        <v>2179</v>
      </c>
      <c r="C12" s="2216" t="s">
        <v>2180</v>
      </c>
      <c r="D12" s="2216" t="s">
        <v>2181</v>
      </c>
      <c r="E12" s="2216" t="s">
        <v>2182</v>
      </c>
      <c r="F12" s="2216" t="s">
        <v>2183</v>
      </c>
      <c r="G12" s="2216" t="s">
        <v>2184</v>
      </c>
      <c r="H12" s="2216" t="s">
        <v>2185</v>
      </c>
      <c r="I12" s="2798" t="s">
        <v>2570</v>
      </c>
      <c r="J12" s="2800"/>
      <c r="K12" s="2396"/>
      <c r="L12" s="2396"/>
      <c r="M12" s="2244"/>
      <c r="N12" s="1669"/>
      <c r="O12" s="2244"/>
      <c r="P12" s="2244"/>
      <c r="Q12" s="2244"/>
      <c r="AD12" s="1617"/>
    </row>
    <row r="13" spans="1:30">
      <c r="A13" s="3119" t="s">
        <v>3326</v>
      </c>
      <c r="B13" s="2217" t="s">
        <v>2186</v>
      </c>
      <c r="C13" s="803">
        <v>63276</v>
      </c>
      <c r="D13" s="803">
        <v>52318</v>
      </c>
      <c r="E13" s="803">
        <v>55971</v>
      </c>
      <c r="F13" s="803">
        <v>55971</v>
      </c>
      <c r="G13" s="803">
        <v>55971</v>
      </c>
      <c r="H13" s="803"/>
      <c r="I13" s="803"/>
      <c r="J13" s="2800"/>
      <c r="K13" s="2396"/>
      <c r="L13" s="2396"/>
      <c r="M13" s="2244"/>
      <c r="N13" s="1669"/>
      <c r="O13" s="2244"/>
      <c r="P13" s="2244"/>
      <c r="Q13" s="2244"/>
      <c r="AD13" s="1617"/>
    </row>
    <row r="14" spans="1:30">
      <c r="A14" s="1018"/>
      <c r="B14" s="2217" t="s">
        <v>2187</v>
      </c>
      <c r="C14" s="2218">
        <v>70</v>
      </c>
      <c r="D14" s="2218">
        <v>40</v>
      </c>
      <c r="E14" s="2218">
        <v>50</v>
      </c>
      <c r="F14" s="2218">
        <v>50</v>
      </c>
      <c r="G14" s="2218">
        <v>50</v>
      </c>
      <c r="H14" s="2218"/>
      <c r="I14" s="2218"/>
      <c r="J14" s="2801"/>
      <c r="K14" s="2396"/>
      <c r="L14" s="2396"/>
      <c r="M14" s="2244"/>
      <c r="N14" s="1669"/>
      <c r="O14" s="2244"/>
      <c r="P14" s="2244"/>
      <c r="Q14" s="2244"/>
      <c r="AD14" s="1617"/>
    </row>
    <row r="15" spans="1:30">
      <c r="A15" s="312"/>
      <c r="B15" s="2219" t="s">
        <v>2188</v>
      </c>
      <c r="C15" s="2220">
        <f>IF(A13="出让",IF(C13="","",ROUNDDOWN(MIN((C13-$D$3)/365,C14),2)),C14)</f>
        <v>48.43</v>
      </c>
      <c r="D15" s="2220">
        <f>IF(A13="出让",IF(D13="","",ROUNDDOWN(MIN((D13-$D$3)/365,D14),2)),D14)</f>
        <v>18.41</v>
      </c>
      <c r="E15" s="2220">
        <f>IF(A13="出让",IF(E13="","",ROUNDDOWN(MIN((E13-$D$3)/365,E14),2)),E14)</f>
        <v>28.42</v>
      </c>
      <c r="F15" s="2220">
        <f>IF(A13="出让",IF(F13="","",ROUNDDOWN(MIN((F13-$D$3)/365,F14),2)),F14)</f>
        <v>28.42</v>
      </c>
      <c r="G15" s="2220">
        <f>IF(A13="出让",IF(G13="","",ROUNDDOWN(MIN((G13-$D$3)/365,G14),2)),G14)</f>
        <v>28.42</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2189</v>
      </c>
      <c r="B16" s="3232"/>
      <c r="C16" s="3233"/>
      <c r="D16" s="3234"/>
      <c r="E16" s="2221" t="s">
        <v>2190</v>
      </c>
      <c r="F16" s="3235"/>
      <c r="G16" s="3236"/>
      <c r="H16" s="3236"/>
      <c r="I16" s="3237"/>
      <c r="J16" s="2244"/>
      <c r="K16" s="2400"/>
      <c r="L16" s="1669"/>
      <c r="M16" s="1669"/>
      <c r="N16" s="2244"/>
      <c r="O16" s="1669"/>
      <c r="P16" s="2244"/>
      <c r="Q16" s="2244"/>
      <c r="R16" s="2244"/>
    </row>
    <row r="17" spans="1:28">
      <c r="A17" s="305" t="s">
        <v>2191</v>
      </c>
      <c r="B17" s="294" t="s">
        <v>2192</v>
      </c>
      <c r="C17" s="8">
        <f>'数据-汇总表'!E3</f>
        <v>139467.97</v>
      </c>
      <c r="D17" s="1255" t="s">
        <v>2193</v>
      </c>
      <c r="E17" s="3238" t="s">
        <v>2194</v>
      </c>
      <c r="F17" s="3239"/>
      <c r="G17" s="3239"/>
      <c r="H17" s="3239"/>
      <c r="I17" s="3240"/>
      <c r="J17" s="2244"/>
      <c r="K17" s="2401"/>
      <c r="L17" s="1669"/>
      <c r="M17" s="1669"/>
      <c r="N17" s="2244"/>
      <c r="O17" s="1669"/>
      <c r="P17" s="2244"/>
      <c r="Q17" s="2244"/>
      <c r="R17" s="2244"/>
      <c r="S17" s="2244"/>
      <c r="T17" s="2244"/>
      <c r="U17" s="2244"/>
      <c r="V17" s="2244"/>
    </row>
    <row r="18" spans="1:28" ht="24.75" thickBot="1">
      <c r="A18" s="2222" t="s">
        <v>2195</v>
      </c>
      <c r="B18" s="1027" t="s">
        <v>2196</v>
      </c>
      <c r="C18" s="2223">
        <f>'数据-汇总表'!D3</f>
        <v>123131.88</v>
      </c>
      <c r="D18" s="1029" t="s">
        <v>2197</v>
      </c>
      <c r="E18" s="3241" t="s">
        <v>2198</v>
      </c>
      <c r="F18" s="3242"/>
      <c r="G18" s="3242"/>
      <c r="H18" s="3242"/>
      <c r="I18" s="3243"/>
      <c r="J18" s="2244"/>
      <c r="K18" s="2401"/>
      <c r="L18" s="1669"/>
      <c r="M18" s="1669"/>
      <c r="N18" s="2244"/>
      <c r="O18" s="1669"/>
      <c r="P18" s="2244"/>
      <c r="Q18" s="2244"/>
      <c r="R18" s="2244"/>
      <c r="S18" s="2244"/>
      <c r="T18" s="2244"/>
      <c r="U18" s="2244"/>
      <c r="V18" s="2244"/>
    </row>
    <row r="19" spans="1:28" ht="37.5" thickTop="1" thickBot="1">
      <c r="A19" s="319" t="s">
        <v>1055</v>
      </c>
      <c r="B19" s="299" t="s">
        <v>2199</v>
      </c>
      <c r="C19" s="1454"/>
      <c r="D19" s="1455" t="s">
        <v>2200</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2201</v>
      </c>
      <c r="B20" s="3228" t="s">
        <v>2202</v>
      </c>
      <c r="C20" s="3229"/>
      <c r="D20" s="3230" t="s">
        <v>2203</v>
      </c>
      <c r="E20" s="3231"/>
      <c r="F20" s="2427" t="s">
        <v>1056</v>
      </c>
      <c r="G20" s="2439"/>
      <c r="H20" s="2439"/>
      <c r="I20" s="2439"/>
      <c r="J20" s="2244"/>
      <c r="K20" s="3227"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2205</v>
      </c>
      <c r="C21" s="2293" t="s">
        <v>1057</v>
      </c>
      <c r="D21" s="1459" t="s">
        <v>2206</v>
      </c>
      <c r="E21" s="2416" t="s">
        <v>1057</v>
      </c>
      <c r="F21" s="2428"/>
      <c r="G21" s="2439"/>
      <c r="H21" s="2439"/>
      <c r="I21" s="2439"/>
      <c r="J21" s="2244"/>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2207</v>
      </c>
      <c r="C22" s="2293" t="s">
        <v>1058</v>
      </c>
      <c r="D22" s="2439"/>
      <c r="E22" s="2439"/>
      <c r="F22" s="2439"/>
      <c r="G22" s="2439"/>
      <c r="H22" s="2439"/>
      <c r="I22" s="2439"/>
      <c r="J22" s="2244"/>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2208</v>
      </c>
      <c r="B23" s="2290" t="s">
        <v>2209</v>
      </c>
      <c r="C23" s="2419"/>
      <c r="D23" s="2420" t="s">
        <v>2209</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16" t="s">
        <v>2210</v>
      </c>
      <c r="B27" s="312" t="s">
        <v>2211</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16"/>
      <c r="B28" s="294" t="s">
        <v>2212</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16"/>
      <c r="B29" s="294" t="s">
        <v>2213</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17"/>
      <c r="B30" s="294" t="s">
        <v>2214</v>
      </c>
      <c r="C30" s="3218"/>
      <c r="D30" s="3219"/>
      <c r="E30" s="2439"/>
      <c r="F30" s="2439"/>
      <c r="G30" s="2439"/>
      <c r="H30" s="2439"/>
      <c r="I30" s="2439"/>
      <c r="J30" s="2244"/>
      <c r="K30" s="2399"/>
      <c r="L30" s="2396"/>
      <c r="M30" s="2396"/>
      <c r="N30" s="2244"/>
      <c r="O30" s="1669"/>
      <c r="P30" s="2244"/>
      <c r="Q30" s="2244"/>
      <c r="R30" s="2244"/>
      <c r="S30" s="2244"/>
      <c r="T30" s="2244"/>
      <c r="U30" s="2244"/>
      <c r="V30" s="2244"/>
    </row>
    <row r="31" spans="1:28">
      <c r="A31" s="3220" t="s">
        <v>2215</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21"/>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21"/>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2216</v>
      </c>
      <c r="B34" s="1869"/>
      <c r="C34" s="1869"/>
      <c r="D34" s="1869"/>
      <c r="E34" s="1869"/>
      <c r="F34" s="1869"/>
      <c r="G34" s="1869"/>
      <c r="H34" s="1869"/>
      <c r="I34" s="2439"/>
      <c r="J34" s="2244"/>
      <c r="K34" s="8">
        <f>COUNTIF(B34:H34,"——")</f>
        <v>0</v>
      </c>
      <c r="L34" s="315" t="s">
        <v>2217</v>
      </c>
      <c r="M34" s="315" t="s">
        <v>2218</v>
      </c>
      <c r="N34" s="315" t="s">
        <v>2219</v>
      </c>
      <c r="O34" s="315" t="s">
        <v>2220</v>
      </c>
      <c r="P34" s="315" t="s">
        <v>2221</v>
      </c>
      <c r="Q34" s="315" t="s">
        <v>2222</v>
      </c>
      <c r="R34" s="315" t="s">
        <v>2223</v>
      </c>
      <c r="S34" s="3215" t="s">
        <v>2224</v>
      </c>
      <c r="T34" s="315" t="str">
        <f>NUMBERSTRING(7-K34,1)&amp;"通"</f>
        <v>七通</v>
      </c>
      <c r="U34" s="2244"/>
      <c r="V34" s="2244"/>
    </row>
    <row r="35" spans="1:30">
      <c r="A35" s="2235"/>
      <c r="B35" s="3215" t="s">
        <v>2225</v>
      </c>
      <c r="C35" s="3215"/>
      <c r="D35" s="3215"/>
      <c r="E35" s="3215"/>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4"/>
      <c r="V35" s="2244"/>
    </row>
    <row r="36" spans="1:30">
      <c r="A36" s="2182"/>
      <c r="B36" s="8" t="s">
        <v>2181</v>
      </c>
      <c r="C36" s="8" t="s">
        <v>2182</v>
      </c>
      <c r="D36" s="8" t="s">
        <v>2180</v>
      </c>
      <c r="E36" s="8" t="s">
        <v>2185</v>
      </c>
      <c r="F36" s="2798" t="s">
        <v>2573</v>
      </c>
      <c r="G36" s="2439"/>
      <c r="H36" s="2439"/>
      <c r="I36" s="2439"/>
      <c r="J36" s="2244"/>
      <c r="K36" s="2399"/>
      <c r="L36" s="2396"/>
      <c r="M36" s="2396"/>
      <c r="N36" s="2244"/>
      <c r="O36" s="1669"/>
      <c r="P36" s="2244"/>
      <c r="Q36" s="2244"/>
      <c r="R36" s="2244"/>
      <c r="S36" s="2244"/>
      <c r="T36" s="2244"/>
      <c r="U36" s="2244"/>
      <c r="V36" s="2244"/>
    </row>
    <row r="37" spans="1:30" ht="14.25">
      <c r="A37" s="2412" t="s">
        <v>2226</v>
      </c>
      <c r="B37" s="3142" t="s">
        <v>306</v>
      </c>
      <c r="C37" s="3142" t="s">
        <v>306</v>
      </c>
      <c r="D37" s="3142" t="s">
        <v>306</v>
      </c>
      <c r="E37" s="3142" t="s">
        <v>306</v>
      </c>
      <c r="F37" s="2236"/>
      <c r="G37" s="2439"/>
      <c r="H37" s="2439"/>
      <c r="I37" s="2439"/>
      <c r="J37" s="2244"/>
      <c r="K37" s="2399"/>
      <c r="L37" s="2396"/>
      <c r="M37" s="2396"/>
      <c r="N37" s="2244"/>
      <c r="O37" s="1669"/>
      <c r="P37" s="2244"/>
      <c r="Q37" s="2244"/>
      <c r="R37" s="2244"/>
      <c r="S37" s="2244"/>
      <c r="T37" s="2244"/>
      <c r="U37" s="2244"/>
      <c r="V37" s="2244"/>
    </row>
    <row r="38" spans="1:30" ht="13.5" thickBot="1">
      <c r="A38" s="2413" t="s">
        <v>2227</v>
      </c>
      <c r="B38" s="2237" t="s">
        <v>295</v>
      </c>
      <c r="C38" s="2237" t="s">
        <v>295</v>
      </c>
      <c r="D38" s="2237" t="s">
        <v>295</v>
      </c>
      <c r="E38" s="2237" t="s">
        <v>295</v>
      </c>
      <c r="F38" s="2237"/>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2228</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2229</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2230</v>
      </c>
      <c r="B42" s="8" t="s">
        <v>2231</v>
      </c>
      <c r="C42" s="8" t="s">
        <v>2232</v>
      </c>
      <c r="D42" s="8" t="s">
        <v>2233</v>
      </c>
      <c r="E42" s="8" t="s">
        <v>2234</v>
      </c>
      <c r="F42" s="8" t="s">
        <v>2235</v>
      </c>
      <c r="G42" s="8" t="s">
        <v>2236</v>
      </c>
      <c r="H42" s="8" t="s">
        <v>2237</v>
      </c>
      <c r="I42" s="8" t="s">
        <v>2238</v>
      </c>
      <c r="J42" s="2408" t="s">
        <v>2239</v>
      </c>
      <c r="K42" s="2409" t="s">
        <v>2240</v>
      </c>
      <c r="L42" s="2409" t="s">
        <v>2241</v>
      </c>
      <c r="M42" s="2409" t="s">
        <v>2242</v>
      </c>
      <c r="N42" s="2402" t="s">
        <v>2243</v>
      </c>
      <c r="O42" s="2402" t="s">
        <v>2244</v>
      </c>
      <c r="P42" s="2402" t="s">
        <v>2245</v>
      </c>
      <c r="Q42" s="2403" t="s">
        <v>2246</v>
      </c>
      <c r="R42" s="2403" t="s">
        <v>2247</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0" sqref="G20"/>
      <selection pane="topRight" activeCell="G20" sqref="G20"/>
      <selection pane="bottomLeft" activeCell="G20" sqref="G2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测绘面积!C59</f>
        <v>123131.88</v>
      </c>
      <c r="B3" s="11">
        <f>IF(C3="否",G5-AT5,G5)</f>
        <v>139467.97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139467.97</v>
      </c>
      <c r="H5" s="13">
        <f t="shared" ref="H5:AT5" si="0">SUM(H13:H656)</f>
        <v>139467.97</v>
      </c>
      <c r="I5" s="13">
        <f t="shared" si="0"/>
        <v>71770.12</v>
      </c>
      <c r="J5" s="13">
        <f t="shared" si="0"/>
        <v>0</v>
      </c>
      <c r="K5" s="13">
        <f t="shared" si="0"/>
        <v>8062.17</v>
      </c>
      <c r="L5" s="13">
        <f t="shared" si="0"/>
        <v>0</v>
      </c>
      <c r="M5" s="13">
        <f t="shared" si="0"/>
        <v>26809.469999999998</v>
      </c>
      <c r="N5" s="13">
        <f t="shared" si="0"/>
        <v>0</v>
      </c>
      <c r="O5" s="13">
        <f t="shared" si="0"/>
        <v>23852.28</v>
      </c>
      <c r="P5" s="13">
        <f t="shared" si="0"/>
        <v>0</v>
      </c>
      <c r="Q5" s="13">
        <f t="shared" si="0"/>
        <v>8973.9299999999985</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139467.97</v>
      </c>
      <c r="BA5" s="15">
        <f t="shared" si="1"/>
        <v>139467.97</v>
      </c>
      <c r="BB5" s="15">
        <f t="shared" si="1"/>
        <v>71770.12</v>
      </c>
      <c r="BC5" s="15">
        <f t="shared" si="1"/>
        <v>8062.17</v>
      </c>
      <c r="BD5" s="15">
        <f t="shared" si="1"/>
        <v>26809.469999999998</v>
      </c>
      <c r="BE5" s="15">
        <f t="shared" si="1"/>
        <v>23852.28</v>
      </c>
      <c r="BF5" s="15">
        <f t="shared" si="1"/>
        <v>8973.9299999999985</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123131.89</v>
      </c>
      <c r="F6" s="13" t="s">
        <v>0</v>
      </c>
      <c r="G6" s="13" t="s">
        <v>1</v>
      </c>
      <c r="H6" s="17">
        <f>SUMIF(I$12:AB$12,"总值",I6:AB6)</f>
        <v>123131.89</v>
      </c>
      <c r="I6" s="13">
        <f t="shared" ref="I6:AB6" si="2">ROUND($A$3*I5/$B$3,2)</f>
        <v>63363.58</v>
      </c>
      <c r="J6" s="13">
        <f t="shared" si="2"/>
        <v>0</v>
      </c>
      <c r="K6" s="13">
        <f t="shared" si="2"/>
        <v>7117.84</v>
      </c>
      <c r="L6" s="13">
        <f t="shared" si="2"/>
        <v>0</v>
      </c>
      <c r="M6" s="13">
        <f t="shared" si="2"/>
        <v>23669.24</v>
      </c>
      <c r="N6" s="13">
        <f t="shared" si="2"/>
        <v>0</v>
      </c>
      <c r="O6" s="13">
        <f t="shared" si="2"/>
        <v>21058.43</v>
      </c>
      <c r="P6" s="13">
        <f t="shared" si="2"/>
        <v>0</v>
      </c>
      <c r="Q6" s="13">
        <f t="shared" si="2"/>
        <v>7922.8</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123131.88</v>
      </c>
      <c r="AZ6" s="13" t="s">
        <v>2</v>
      </c>
      <c r="BA6" s="13">
        <f>ROUND($AY$6*BA5/$AZ$5,2)</f>
        <v>123131.88</v>
      </c>
      <c r="BB6" s="13">
        <f>ROUND($AY$6*BB5/$AZ$5,2)</f>
        <v>63363.58</v>
      </c>
      <c r="BC6" s="13">
        <f t="shared" ref="BC6:BH6" si="4">ROUND($AY$6*BC5/$AZ$5,2)</f>
        <v>7117.84</v>
      </c>
      <c r="BD6" s="13">
        <f t="shared" si="4"/>
        <v>23669.24</v>
      </c>
      <c r="BE6" s="13">
        <f t="shared" si="4"/>
        <v>21058.43</v>
      </c>
      <c r="BF6" s="13">
        <f t="shared" si="4"/>
        <v>7922.8</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t="s">
        <v>3387</v>
      </c>
      <c r="L9" s="761"/>
      <c r="M9" s="1490" t="s">
        <v>3387</v>
      </c>
      <c r="N9" s="761"/>
      <c r="O9" s="1490" t="s">
        <v>3392</v>
      </c>
      <c r="P9" s="761"/>
      <c r="Q9" s="1490" t="s">
        <v>3392</v>
      </c>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t="s">
        <v>3388</v>
      </c>
      <c r="L10" s="761"/>
      <c r="M10" s="1496" t="s">
        <v>3388</v>
      </c>
      <c r="N10" s="761"/>
      <c r="O10" s="1496" t="s">
        <v>3327</v>
      </c>
      <c r="P10" s="761"/>
      <c r="Q10" s="1496" t="s">
        <v>3328</v>
      </c>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t="s">
        <v>3390</v>
      </c>
      <c r="L11" s="1502"/>
      <c r="M11" s="1501" t="s">
        <v>3391</v>
      </c>
      <c r="N11" s="1502"/>
      <c r="O11" s="1501" t="s">
        <v>3327</v>
      </c>
      <c r="P11" s="1502"/>
      <c r="Q11" s="1501" t="s">
        <v>3393</v>
      </c>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t="str">
        <f>M10</f>
        <v>住宅</v>
      </c>
      <c r="BE11" s="1486" t="str">
        <f>O10</f>
        <v>车库</v>
      </c>
      <c r="BF11" s="1486" t="str">
        <f>Q10</f>
        <v>仓储</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叠拼</v>
      </c>
      <c r="BC12" s="1511" t="str">
        <f>K11</f>
        <v>联排</v>
      </c>
      <c r="BD12" s="1511" t="str">
        <f>M11</f>
        <v>合院</v>
      </c>
      <c r="BE12" s="1486" t="str">
        <f>O11</f>
        <v>车库</v>
      </c>
      <c r="BF12" s="1486" t="str">
        <f>Q11</f>
        <v>戊类库房</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3514</v>
      </c>
      <c r="E13" s="13">
        <f>IF($C$3="是",ROUND($A$3*G13/$B$3,2),ROUND($A$3*(G13-AT13)/$B$3,2))</f>
        <v>123131.88</v>
      </c>
      <c r="F13" s="29"/>
      <c r="G13" s="30">
        <f>H13+AC13+AT13</f>
        <v>139467.97</v>
      </c>
      <c r="H13" s="17">
        <f>SUMIF(I$12:AB$12,"总值",I13:AB13)</f>
        <v>139467.97</v>
      </c>
      <c r="I13" s="1513">
        <f>测绘面积!D54</f>
        <v>71770.12</v>
      </c>
      <c r="J13" s="1513"/>
      <c r="K13" s="1513">
        <f>测绘面积!E54</f>
        <v>8062.17</v>
      </c>
      <c r="L13" s="1513"/>
      <c r="M13" s="1513">
        <f>测绘面积!C54</f>
        <v>26809.469999999998</v>
      </c>
      <c r="N13" s="1513"/>
      <c r="O13" s="1513">
        <f>测绘面积!G54</f>
        <v>23852.28</v>
      </c>
      <c r="P13" s="1513"/>
      <c r="Q13" s="1513">
        <f>测绘面积!F54</f>
        <v>8973.9299999999985</v>
      </c>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123131.88</v>
      </c>
      <c r="AZ13" s="13">
        <f>BA13+BL13</f>
        <v>139467.97</v>
      </c>
      <c r="BA13" s="13">
        <f>SUM(BB13:BK13)</f>
        <v>139467.97</v>
      </c>
      <c r="BB13" s="13">
        <f>IF($D13="是",I13-J13,0)</f>
        <v>71770.12</v>
      </c>
      <c r="BC13" s="13">
        <f>IF($D13="是",K13-L13,0)</f>
        <v>8062.17</v>
      </c>
      <c r="BD13" s="13">
        <f>IF($D13="是",M13-N13,0)</f>
        <v>26809.469999999998</v>
      </c>
      <c r="BE13" s="13">
        <f>IF($D13="是",O13-P13,0)</f>
        <v>23852.28</v>
      </c>
      <c r="BF13" s="13">
        <f>IF($D13="是",Q13-R13,0)</f>
        <v>8973.9299999999985</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1:T71"/>
  <sheetViews>
    <sheetView topLeftCell="A16" zoomScale="85" zoomScaleNormal="85" workbookViewId="0">
      <selection activeCell="O62" sqref="O62"/>
    </sheetView>
  </sheetViews>
  <sheetFormatPr defaultRowHeight="13.5"/>
  <cols>
    <col min="1" max="1" width="6.125" style="3143" customWidth="1"/>
    <col min="2" max="2" width="13.75" style="3143" customWidth="1"/>
    <col min="3" max="3" width="12.375" style="3143" customWidth="1"/>
    <col min="4" max="9" width="9" style="3143" customWidth="1"/>
    <col min="10" max="10" width="11.875" style="3143" customWidth="1"/>
    <col min="11" max="13" width="9" style="3143" hidden="1" customWidth="1"/>
    <col min="14" max="16384" width="9" style="3143"/>
  </cols>
  <sheetData>
    <row r="1" spans="2:16">
      <c r="B1" s="3143" t="s">
        <v>3394</v>
      </c>
      <c r="C1" s="3143" t="s">
        <v>3395</v>
      </c>
      <c r="D1" s="3143" t="s">
        <v>3396</v>
      </c>
      <c r="E1" s="3143" t="s">
        <v>3397</v>
      </c>
      <c r="F1" s="3143" t="s">
        <v>3398</v>
      </c>
      <c r="G1" s="3143" t="s">
        <v>3399</v>
      </c>
      <c r="H1" s="3143" t="s">
        <v>3400</v>
      </c>
      <c r="I1" s="3143" t="s">
        <v>3401</v>
      </c>
      <c r="J1" s="3143" t="s">
        <v>2586</v>
      </c>
      <c r="K1" s="3143" t="s">
        <v>3402</v>
      </c>
      <c r="N1" s="3143" t="s">
        <v>3403</v>
      </c>
      <c r="P1" s="3143" t="s">
        <v>2546</v>
      </c>
    </row>
    <row r="2" spans="2:16">
      <c r="B2" s="3143" t="s">
        <v>3404</v>
      </c>
      <c r="C2" s="3143">
        <v>1278.82</v>
      </c>
      <c r="F2" s="3143">
        <v>453.82</v>
      </c>
      <c r="J2" s="3143">
        <f>SUM(C2:G2)</f>
        <v>1732.6399999999999</v>
      </c>
      <c r="K2" s="3143">
        <v>3</v>
      </c>
      <c r="N2" s="3144">
        <v>0.65</v>
      </c>
      <c r="P2" s="3143">
        <f t="shared" ref="P2:P19" si="0">N2*C2</f>
        <v>831.23299999999995</v>
      </c>
    </row>
    <row r="3" spans="2:16">
      <c r="B3" s="3143" t="s">
        <v>3405</v>
      </c>
      <c r="C3" s="3143">
        <v>1828.64</v>
      </c>
      <c r="F3" s="3143">
        <v>651.1</v>
      </c>
      <c r="J3" s="3143">
        <f t="shared" ref="J3:J7" si="1">SUM(C3:G3)</f>
        <v>2479.7400000000002</v>
      </c>
      <c r="K3" s="3143">
        <v>3</v>
      </c>
      <c r="N3" s="3144">
        <v>0.65</v>
      </c>
      <c r="P3" s="3143">
        <f t="shared" si="0"/>
        <v>1188.6160000000002</v>
      </c>
    </row>
    <row r="4" spans="2:16">
      <c r="B4" s="3143" t="s">
        <v>3406</v>
      </c>
      <c r="C4" s="3143">
        <v>1828.64</v>
      </c>
      <c r="F4" s="3143">
        <v>651.1</v>
      </c>
      <c r="J4" s="3143">
        <f t="shared" si="1"/>
        <v>2479.7400000000002</v>
      </c>
      <c r="K4" s="3143">
        <v>3</v>
      </c>
      <c r="N4" s="3144">
        <v>0.65</v>
      </c>
      <c r="P4" s="3143">
        <f t="shared" si="0"/>
        <v>1188.6160000000002</v>
      </c>
    </row>
    <row r="5" spans="2:16">
      <c r="B5" s="3143" t="s">
        <v>3407</v>
      </c>
      <c r="C5" s="3143">
        <v>1828.64</v>
      </c>
      <c r="F5" s="3143">
        <v>651.1</v>
      </c>
      <c r="J5" s="3143">
        <f t="shared" si="1"/>
        <v>2479.7400000000002</v>
      </c>
      <c r="K5" s="3143">
        <v>3</v>
      </c>
      <c r="N5" s="3144">
        <v>0.65</v>
      </c>
      <c r="P5" s="3143">
        <f t="shared" si="0"/>
        <v>1188.6160000000002</v>
      </c>
    </row>
    <row r="6" spans="2:16">
      <c r="B6" s="3143" t="s">
        <v>3408</v>
      </c>
      <c r="C6" s="3143">
        <v>1278.82</v>
      </c>
      <c r="F6" s="3143">
        <v>453.82</v>
      </c>
      <c r="J6" s="3143">
        <f t="shared" si="1"/>
        <v>1732.6399999999999</v>
      </c>
      <c r="K6" s="3143">
        <v>3</v>
      </c>
      <c r="N6" s="3144">
        <v>0.65</v>
      </c>
      <c r="P6" s="3143">
        <f t="shared" si="0"/>
        <v>831.23299999999995</v>
      </c>
    </row>
    <row r="7" spans="2:16">
      <c r="B7" s="3143" t="s">
        <v>3409</v>
      </c>
      <c r="C7" s="3143">
        <v>1278.82</v>
      </c>
      <c r="J7" s="3143">
        <f t="shared" si="1"/>
        <v>1278.82</v>
      </c>
      <c r="K7" s="3143">
        <v>3</v>
      </c>
      <c r="N7" s="3144">
        <v>0.65</v>
      </c>
      <c r="P7" s="3143">
        <f t="shared" si="0"/>
        <v>831.23299999999995</v>
      </c>
    </row>
    <row r="8" spans="2:16">
      <c r="B8" s="3143" t="s">
        <v>3410</v>
      </c>
      <c r="C8" s="3143">
        <v>1278.82</v>
      </c>
      <c r="J8" s="3143">
        <f t="shared" ref="J8:J46" si="2">SUM(C8:I8)</f>
        <v>1278.82</v>
      </c>
      <c r="K8" s="3143">
        <v>3</v>
      </c>
      <c r="N8" s="3144">
        <v>0.65</v>
      </c>
      <c r="P8" s="3143">
        <f t="shared" si="0"/>
        <v>831.23299999999995</v>
      </c>
    </row>
    <row r="9" spans="2:16">
      <c r="B9" s="3143" t="s">
        <v>3411</v>
      </c>
      <c r="C9" s="3143">
        <v>1925.4</v>
      </c>
      <c r="J9" s="3143">
        <f t="shared" si="2"/>
        <v>1925.4</v>
      </c>
      <c r="K9" s="3143">
        <v>3</v>
      </c>
      <c r="N9" s="3144">
        <v>0.65</v>
      </c>
      <c r="P9" s="3143">
        <f t="shared" si="0"/>
        <v>1251.51</v>
      </c>
    </row>
    <row r="10" spans="2:16">
      <c r="B10" s="3143" t="s">
        <v>3412</v>
      </c>
      <c r="C10" s="3143">
        <v>1529.49</v>
      </c>
      <c r="J10" s="3143">
        <f t="shared" si="2"/>
        <v>1529.49</v>
      </c>
      <c r="K10" s="3143">
        <v>3</v>
      </c>
      <c r="N10" s="3144">
        <v>0.65</v>
      </c>
      <c r="P10" s="3143">
        <f t="shared" si="0"/>
        <v>994.16849999999999</v>
      </c>
    </row>
    <row r="11" spans="2:16">
      <c r="B11" s="3143" t="s">
        <v>3413</v>
      </c>
      <c r="C11" s="3143">
        <v>1278.82</v>
      </c>
      <c r="J11" s="3143">
        <f t="shared" si="2"/>
        <v>1278.82</v>
      </c>
      <c r="K11" s="3143">
        <v>3</v>
      </c>
      <c r="N11" s="3144">
        <v>0.65</v>
      </c>
      <c r="P11" s="3143">
        <f t="shared" si="0"/>
        <v>831.23299999999995</v>
      </c>
    </row>
    <row r="12" spans="2:16">
      <c r="B12" s="3143" t="s">
        <v>3414</v>
      </c>
      <c r="C12" s="3143">
        <v>1278.82</v>
      </c>
      <c r="J12" s="3143">
        <f t="shared" si="2"/>
        <v>1278.82</v>
      </c>
      <c r="K12" s="3143">
        <v>3</v>
      </c>
      <c r="N12" s="3144">
        <v>0.65</v>
      </c>
      <c r="P12" s="3143">
        <f t="shared" si="0"/>
        <v>831.23299999999995</v>
      </c>
    </row>
    <row r="13" spans="2:16">
      <c r="B13" s="3143" t="s">
        <v>3415</v>
      </c>
      <c r="C13" s="3143">
        <v>961.2</v>
      </c>
      <c r="J13" s="3143">
        <f t="shared" si="2"/>
        <v>961.2</v>
      </c>
      <c r="K13" s="3143">
        <v>3</v>
      </c>
      <c r="N13" s="3144">
        <v>0.65</v>
      </c>
      <c r="P13" s="3143">
        <f t="shared" si="0"/>
        <v>624.78000000000009</v>
      </c>
    </row>
    <row r="14" spans="2:16">
      <c r="B14" s="3143" t="s">
        <v>3416</v>
      </c>
      <c r="C14" s="3143">
        <v>1828.64</v>
      </c>
      <c r="F14" s="3143">
        <v>648.67999999999995</v>
      </c>
      <c r="J14" s="3143">
        <f t="shared" si="2"/>
        <v>2477.3200000000002</v>
      </c>
      <c r="K14" s="3143">
        <v>3</v>
      </c>
      <c r="N14" s="3144">
        <v>0.65</v>
      </c>
      <c r="P14" s="3143">
        <f t="shared" si="0"/>
        <v>1188.6160000000002</v>
      </c>
    </row>
    <row r="15" spans="2:16">
      <c r="B15" s="3143" t="s">
        <v>3417</v>
      </c>
      <c r="C15" s="3143">
        <v>1828.64</v>
      </c>
      <c r="F15" s="3143">
        <v>649.78</v>
      </c>
      <c r="J15" s="3143">
        <f t="shared" si="2"/>
        <v>2478.42</v>
      </c>
      <c r="K15" s="3143">
        <v>3</v>
      </c>
      <c r="N15" s="3144">
        <v>0.65</v>
      </c>
      <c r="P15" s="3143">
        <f t="shared" si="0"/>
        <v>1188.6160000000002</v>
      </c>
    </row>
    <row r="16" spans="2:16">
      <c r="B16" s="3143" t="s">
        <v>3418</v>
      </c>
      <c r="C16" s="3143">
        <v>1828.64</v>
      </c>
      <c r="F16" s="3143">
        <v>649.78</v>
      </c>
      <c r="J16" s="3143">
        <f t="shared" si="2"/>
        <v>2478.42</v>
      </c>
      <c r="K16" s="3143">
        <v>3</v>
      </c>
      <c r="N16" s="3144">
        <v>0.65</v>
      </c>
      <c r="P16" s="3143">
        <f t="shared" si="0"/>
        <v>1188.6160000000002</v>
      </c>
    </row>
    <row r="17" spans="2:17">
      <c r="B17" s="3143" t="s">
        <v>3419</v>
      </c>
      <c r="C17" s="3143">
        <v>1828.64</v>
      </c>
      <c r="F17" s="3143">
        <v>649.78</v>
      </c>
      <c r="J17" s="3143">
        <f t="shared" si="2"/>
        <v>2478.42</v>
      </c>
      <c r="K17" s="3143">
        <v>3</v>
      </c>
      <c r="N17" s="3144">
        <v>0.65</v>
      </c>
      <c r="P17" s="3143">
        <f t="shared" si="0"/>
        <v>1188.6160000000002</v>
      </c>
    </row>
    <row r="18" spans="2:17">
      <c r="B18" s="3143" t="s">
        <v>3420</v>
      </c>
      <c r="C18" s="3143">
        <v>1278.82</v>
      </c>
      <c r="F18" s="3143">
        <v>454.14</v>
      </c>
      <c r="J18" s="3143">
        <f t="shared" si="2"/>
        <v>1732.96</v>
      </c>
      <c r="K18" s="3143">
        <v>3</v>
      </c>
      <c r="N18" s="3144">
        <v>0.65</v>
      </c>
      <c r="P18" s="3143">
        <f t="shared" si="0"/>
        <v>831.23299999999995</v>
      </c>
    </row>
    <row r="19" spans="2:17">
      <c r="B19" s="3143" t="s">
        <v>3421</v>
      </c>
      <c r="C19" s="3143">
        <v>641.16</v>
      </c>
      <c r="J19" s="3143">
        <f t="shared" si="2"/>
        <v>641.16</v>
      </c>
      <c r="K19" s="3143">
        <v>3</v>
      </c>
      <c r="N19" s="3144">
        <v>0.65</v>
      </c>
      <c r="P19" s="3143">
        <f t="shared" si="0"/>
        <v>416.75400000000002</v>
      </c>
      <c r="Q19" s="3143">
        <f>SUM(P2:P19)</f>
        <v>17426.155500000001</v>
      </c>
    </row>
    <row r="20" spans="2:17">
      <c r="B20" s="3143" t="s">
        <v>3422</v>
      </c>
      <c r="D20" s="3143">
        <v>1670.03</v>
      </c>
      <c r="J20" s="3143">
        <f t="shared" si="2"/>
        <v>1670.03</v>
      </c>
      <c r="K20" s="3143">
        <v>5</v>
      </c>
      <c r="N20" s="3144">
        <v>0.65</v>
      </c>
      <c r="P20" s="3143">
        <f>N20*D20</f>
        <v>1085.5195000000001</v>
      </c>
    </row>
    <row r="21" spans="2:17">
      <c r="B21" s="3143" t="s">
        <v>3423</v>
      </c>
      <c r="D21" s="3143">
        <v>3604.06</v>
      </c>
      <c r="J21" s="3143">
        <f t="shared" si="2"/>
        <v>3604.06</v>
      </c>
      <c r="K21" s="3143">
        <v>5</v>
      </c>
      <c r="N21" s="3144">
        <v>0.65</v>
      </c>
      <c r="P21" s="3143">
        <f t="shared" ref="P21:P47" si="3">N21*D21</f>
        <v>2342.6390000000001</v>
      </c>
    </row>
    <row r="22" spans="2:17">
      <c r="B22" s="3143" t="s">
        <v>3424</v>
      </c>
      <c r="D22" s="3143">
        <v>3600.42</v>
      </c>
      <c r="J22" s="3143">
        <f t="shared" si="2"/>
        <v>3600.42</v>
      </c>
      <c r="K22" s="3143">
        <v>5</v>
      </c>
      <c r="N22" s="3144">
        <v>0.55000000000000004</v>
      </c>
      <c r="P22" s="3143">
        <f t="shared" si="3"/>
        <v>1980.2310000000002</v>
      </c>
    </row>
    <row r="23" spans="2:17">
      <c r="B23" s="3143" t="s">
        <v>3425</v>
      </c>
      <c r="D23" s="3143">
        <v>3604.06</v>
      </c>
      <c r="J23" s="3143">
        <f t="shared" si="2"/>
        <v>3604.06</v>
      </c>
      <c r="K23" s="3143">
        <v>5</v>
      </c>
      <c r="N23" s="3144">
        <v>0.65</v>
      </c>
      <c r="P23" s="3143">
        <f t="shared" si="3"/>
        <v>2342.6390000000001</v>
      </c>
    </row>
    <row r="24" spans="2:17">
      <c r="B24" s="3143" t="s">
        <v>3426</v>
      </c>
      <c r="D24" s="3143">
        <v>3604.06</v>
      </c>
      <c r="J24" s="3143">
        <f t="shared" si="2"/>
        <v>3604.06</v>
      </c>
      <c r="K24" s="3143">
        <v>5</v>
      </c>
      <c r="N24" s="3144">
        <v>0.65</v>
      </c>
      <c r="P24" s="3143">
        <f t="shared" si="3"/>
        <v>2342.6390000000001</v>
      </c>
    </row>
    <row r="25" spans="2:17">
      <c r="B25" s="3143" t="s">
        <v>3427</v>
      </c>
      <c r="D25" s="3143">
        <v>3604.06</v>
      </c>
      <c r="J25" s="3143">
        <f t="shared" si="2"/>
        <v>3604.06</v>
      </c>
      <c r="K25" s="3143">
        <v>5</v>
      </c>
      <c r="N25" s="3144">
        <v>0.65</v>
      </c>
      <c r="P25" s="3143">
        <f t="shared" si="3"/>
        <v>2342.6390000000001</v>
      </c>
    </row>
    <row r="26" spans="2:17">
      <c r="B26" s="3143" t="s">
        <v>3428</v>
      </c>
      <c r="D26" s="3143">
        <v>3604.06</v>
      </c>
      <c r="J26" s="3143">
        <f t="shared" si="2"/>
        <v>3604.06</v>
      </c>
      <c r="K26" s="3143">
        <v>5</v>
      </c>
      <c r="N26" s="3144">
        <v>0.65</v>
      </c>
      <c r="P26" s="3143">
        <f t="shared" si="3"/>
        <v>2342.6390000000001</v>
      </c>
    </row>
    <row r="27" spans="2:17">
      <c r="B27" s="3143" t="s">
        <v>3429</v>
      </c>
      <c r="D27" s="3143">
        <v>2724</v>
      </c>
      <c r="J27" s="3143">
        <f t="shared" si="2"/>
        <v>2724</v>
      </c>
      <c r="K27" s="3143">
        <v>4</v>
      </c>
      <c r="N27" s="3144">
        <v>0.65</v>
      </c>
      <c r="P27" s="3143">
        <f t="shared" si="3"/>
        <v>1770.6000000000001</v>
      </c>
    </row>
    <row r="28" spans="2:17">
      <c r="B28" s="3143" t="s">
        <v>3430</v>
      </c>
      <c r="D28" s="3143">
        <v>3604.06</v>
      </c>
      <c r="J28" s="3143">
        <f t="shared" si="2"/>
        <v>3604.06</v>
      </c>
      <c r="K28" s="3143">
        <v>5</v>
      </c>
      <c r="N28" s="3144">
        <v>0.65</v>
      </c>
      <c r="P28" s="3143">
        <f t="shared" si="3"/>
        <v>2342.6390000000001</v>
      </c>
    </row>
    <row r="29" spans="2:17">
      <c r="B29" s="3143" t="s">
        <v>3431</v>
      </c>
      <c r="D29" s="3143">
        <v>3604.06</v>
      </c>
      <c r="J29" s="3143">
        <f t="shared" si="2"/>
        <v>3604.06</v>
      </c>
      <c r="K29" s="3143">
        <v>5</v>
      </c>
      <c r="N29" s="3144">
        <v>0.65</v>
      </c>
      <c r="P29" s="3143">
        <f t="shared" si="3"/>
        <v>2342.6390000000001</v>
      </c>
    </row>
    <row r="30" spans="2:17">
      <c r="B30" s="3143" t="s">
        <v>3432</v>
      </c>
      <c r="D30" s="3143">
        <v>3604.06</v>
      </c>
      <c r="J30" s="3143">
        <f t="shared" si="2"/>
        <v>3604.06</v>
      </c>
      <c r="K30" s="3143">
        <v>5</v>
      </c>
      <c r="N30" s="3144">
        <v>0.65</v>
      </c>
      <c r="P30" s="3143">
        <f t="shared" si="3"/>
        <v>2342.6390000000001</v>
      </c>
    </row>
    <row r="31" spans="2:17">
      <c r="B31" s="3143" t="s">
        <v>3433</v>
      </c>
      <c r="D31" s="3143">
        <v>2724</v>
      </c>
      <c r="J31" s="3143">
        <f t="shared" si="2"/>
        <v>2724</v>
      </c>
      <c r="K31" s="3143">
        <v>4</v>
      </c>
      <c r="N31" s="3144">
        <v>0.65</v>
      </c>
      <c r="P31" s="3143">
        <f t="shared" si="3"/>
        <v>1770.6000000000001</v>
      </c>
    </row>
    <row r="32" spans="2:17">
      <c r="B32" s="3143" t="s">
        <v>3434</v>
      </c>
      <c r="D32" s="3143">
        <v>3604.06</v>
      </c>
      <c r="J32" s="3143">
        <f t="shared" si="2"/>
        <v>3604.06</v>
      </c>
      <c r="K32" s="3143">
        <v>5</v>
      </c>
      <c r="N32" s="3144">
        <v>0.65</v>
      </c>
      <c r="P32" s="3143">
        <f t="shared" si="3"/>
        <v>2342.6390000000001</v>
      </c>
    </row>
    <row r="33" spans="2:17">
      <c r="B33" s="3143" t="s">
        <v>3435</v>
      </c>
      <c r="D33" s="3143">
        <v>2916.88</v>
      </c>
      <c r="J33" s="3143">
        <f t="shared" si="2"/>
        <v>2916.88</v>
      </c>
      <c r="K33" s="3143">
        <v>4</v>
      </c>
      <c r="N33" s="3144">
        <v>0.65</v>
      </c>
      <c r="P33" s="3143">
        <f t="shared" si="3"/>
        <v>1895.9720000000002</v>
      </c>
    </row>
    <row r="34" spans="2:17">
      <c r="B34" s="3143" t="s">
        <v>3436</v>
      </c>
      <c r="D34" s="3143">
        <v>2204.44</v>
      </c>
      <c r="J34" s="3143">
        <f t="shared" si="2"/>
        <v>2204.44</v>
      </c>
      <c r="K34" s="3143">
        <v>4</v>
      </c>
      <c r="N34" s="3144">
        <v>0.65</v>
      </c>
      <c r="P34" s="3143">
        <f t="shared" si="3"/>
        <v>1432.8860000000002</v>
      </c>
    </row>
    <row r="35" spans="2:17">
      <c r="B35" s="3143" t="s">
        <v>3437</v>
      </c>
      <c r="D35" s="3143">
        <v>2331.2199999999998</v>
      </c>
      <c r="J35" s="3143">
        <f t="shared" si="2"/>
        <v>2331.2199999999998</v>
      </c>
      <c r="K35" s="3143">
        <v>3</v>
      </c>
      <c r="N35" s="3144">
        <v>0.65</v>
      </c>
      <c r="P35" s="3143">
        <f t="shared" si="3"/>
        <v>1515.2929999999999</v>
      </c>
    </row>
    <row r="36" spans="2:17">
      <c r="B36" s="3143" t="s">
        <v>3438</v>
      </c>
      <c r="D36" s="3143">
        <v>1764.7</v>
      </c>
      <c r="J36" s="3143">
        <f t="shared" si="2"/>
        <v>1764.7</v>
      </c>
      <c r="K36" s="3143">
        <v>3</v>
      </c>
      <c r="N36" s="3144">
        <v>0.65</v>
      </c>
      <c r="P36" s="3143">
        <f t="shared" si="3"/>
        <v>1147.0550000000001</v>
      </c>
    </row>
    <row r="37" spans="2:17">
      <c r="B37" s="3143" t="s">
        <v>3439</v>
      </c>
      <c r="D37" s="3143">
        <v>1765.29</v>
      </c>
      <c r="J37" s="3143">
        <f t="shared" si="2"/>
        <v>1765.29</v>
      </c>
      <c r="K37" s="3143">
        <v>3</v>
      </c>
      <c r="N37" s="3144">
        <v>0.65</v>
      </c>
      <c r="P37" s="3143">
        <f t="shared" si="3"/>
        <v>1147.4385</v>
      </c>
    </row>
    <row r="38" spans="2:17">
      <c r="B38" s="3143" t="s">
        <v>3440</v>
      </c>
      <c r="D38" s="3143">
        <v>1196.32</v>
      </c>
      <c r="J38" s="3143">
        <f t="shared" si="2"/>
        <v>1196.32</v>
      </c>
      <c r="K38" s="3143">
        <v>3</v>
      </c>
      <c r="N38" s="3144">
        <v>0.65</v>
      </c>
      <c r="P38" s="3143">
        <f t="shared" si="3"/>
        <v>777.60799999999995</v>
      </c>
    </row>
    <row r="39" spans="2:17">
      <c r="B39" s="3143" t="s">
        <v>3441</v>
      </c>
      <c r="D39" s="3143">
        <v>1196.32</v>
      </c>
      <c r="J39" s="3143">
        <f t="shared" si="2"/>
        <v>1196.32</v>
      </c>
      <c r="K39" s="3143">
        <v>3</v>
      </c>
      <c r="N39" s="3144">
        <v>0.65</v>
      </c>
      <c r="P39" s="3143">
        <f t="shared" si="3"/>
        <v>777.60799999999995</v>
      </c>
    </row>
    <row r="40" spans="2:17">
      <c r="B40" s="3143" t="s">
        <v>3442</v>
      </c>
      <c r="D40" s="3143">
        <v>2331.2199999999998</v>
      </c>
      <c r="J40" s="3143">
        <f t="shared" si="2"/>
        <v>2331.2199999999998</v>
      </c>
      <c r="K40" s="3143">
        <v>3</v>
      </c>
      <c r="N40" s="3144">
        <v>0.65</v>
      </c>
      <c r="P40" s="3143">
        <f t="shared" si="3"/>
        <v>1515.2929999999999</v>
      </c>
    </row>
    <row r="41" spans="2:17">
      <c r="B41" s="3143" t="s">
        <v>3443</v>
      </c>
      <c r="D41" s="3143">
        <v>1194.6199999999999</v>
      </c>
      <c r="J41" s="3143">
        <f t="shared" si="2"/>
        <v>1194.6199999999999</v>
      </c>
      <c r="K41" s="3143">
        <v>3</v>
      </c>
      <c r="N41" s="3144">
        <v>0.65</v>
      </c>
      <c r="P41" s="3143">
        <f t="shared" si="3"/>
        <v>776.50299999999993</v>
      </c>
    </row>
    <row r="42" spans="2:17">
      <c r="B42" s="3143" t="s">
        <v>3444</v>
      </c>
      <c r="D42" s="3143">
        <v>2331.2199999999998</v>
      </c>
      <c r="J42" s="3143">
        <f t="shared" si="2"/>
        <v>2331.2199999999998</v>
      </c>
      <c r="K42" s="3143">
        <v>3</v>
      </c>
      <c r="N42" s="3144">
        <v>0.65</v>
      </c>
      <c r="P42" s="3143">
        <f t="shared" si="3"/>
        <v>1515.2929999999999</v>
      </c>
    </row>
    <row r="43" spans="2:17">
      <c r="B43" s="3143" t="s">
        <v>3445</v>
      </c>
      <c r="D43" s="3143">
        <v>1762.92</v>
      </c>
      <c r="J43" s="3143">
        <f t="shared" si="2"/>
        <v>1762.92</v>
      </c>
      <c r="K43" s="3143">
        <v>3</v>
      </c>
      <c r="N43" s="3144">
        <v>0.65</v>
      </c>
      <c r="P43" s="3143">
        <f t="shared" si="3"/>
        <v>1145.8980000000001</v>
      </c>
    </row>
    <row r="44" spans="2:17">
      <c r="B44" s="3143" t="s">
        <v>3446</v>
      </c>
      <c r="D44" s="3143">
        <v>1762.92</v>
      </c>
      <c r="J44" s="3143">
        <f t="shared" si="2"/>
        <v>1762.92</v>
      </c>
      <c r="K44" s="3143">
        <v>3</v>
      </c>
      <c r="N44" s="3144">
        <v>0.65</v>
      </c>
      <c r="P44" s="3143">
        <f t="shared" si="3"/>
        <v>1145.8980000000001</v>
      </c>
    </row>
    <row r="45" spans="2:17">
      <c r="B45" s="3143" t="s">
        <v>3447</v>
      </c>
      <c r="D45" s="3143">
        <v>2331.2199999999998</v>
      </c>
      <c r="J45" s="3143">
        <f t="shared" si="2"/>
        <v>2331.2199999999998</v>
      </c>
      <c r="K45" s="3143">
        <v>3</v>
      </c>
      <c r="N45" s="3144">
        <v>0.65</v>
      </c>
      <c r="P45" s="3143">
        <f t="shared" si="3"/>
        <v>1515.2929999999999</v>
      </c>
    </row>
    <row r="46" spans="2:17">
      <c r="B46" s="3143" t="s">
        <v>3448</v>
      </c>
      <c r="D46" s="3143">
        <v>1762.92</v>
      </c>
      <c r="J46" s="3143">
        <f t="shared" si="2"/>
        <v>1762.92</v>
      </c>
      <c r="K46" s="3143">
        <v>3</v>
      </c>
      <c r="N46" s="3144">
        <v>0.65</v>
      </c>
      <c r="P46" s="3143">
        <f t="shared" si="3"/>
        <v>1145.8980000000001</v>
      </c>
    </row>
    <row r="47" spans="2:17">
      <c r="B47" s="3143" t="s">
        <v>3449</v>
      </c>
      <c r="D47" s="3143">
        <v>1762.92</v>
      </c>
      <c r="J47" s="3143">
        <f>SUM(C47:I47)</f>
        <v>1762.92</v>
      </c>
      <c r="K47" s="3143">
        <v>3</v>
      </c>
      <c r="N47" s="3144">
        <v>0.65</v>
      </c>
      <c r="P47" s="3143">
        <f t="shared" si="3"/>
        <v>1145.8980000000001</v>
      </c>
      <c r="Q47" s="3143">
        <f>SUM(P20:P47)</f>
        <v>46290.535999999986</v>
      </c>
    </row>
    <row r="48" spans="2:17">
      <c r="B48" s="3143" t="s">
        <v>3450</v>
      </c>
      <c r="E48" s="3143">
        <v>1997.24</v>
      </c>
      <c r="F48" s="3143">
        <v>762.01</v>
      </c>
      <c r="J48" s="3143">
        <f t="shared" ref="J48:J53" si="4">SUM(C48:I48)</f>
        <v>2759.25</v>
      </c>
      <c r="K48" s="3143">
        <v>3</v>
      </c>
      <c r="N48" s="3144">
        <v>0.65</v>
      </c>
      <c r="P48" s="3143">
        <f>N48*E48</f>
        <v>1298.2060000000001</v>
      </c>
    </row>
    <row r="49" spans="2:20">
      <c r="B49" s="3143" t="s">
        <v>3451</v>
      </c>
      <c r="E49" s="3143">
        <v>1752.1</v>
      </c>
      <c r="F49" s="3143">
        <v>666.95</v>
      </c>
      <c r="J49" s="3143">
        <f t="shared" si="4"/>
        <v>2419.0500000000002</v>
      </c>
      <c r="K49" s="3143">
        <v>3</v>
      </c>
      <c r="N49" s="3144">
        <v>0.65</v>
      </c>
      <c r="P49" s="3143">
        <f>N49*E49</f>
        <v>1138.865</v>
      </c>
    </row>
    <row r="50" spans="2:20">
      <c r="B50" s="3143" t="s">
        <v>3452</v>
      </c>
      <c r="E50" s="3143">
        <v>1774.5</v>
      </c>
      <c r="F50" s="3143">
        <v>672.92</v>
      </c>
      <c r="J50" s="3143">
        <f t="shared" si="4"/>
        <v>2447.42</v>
      </c>
      <c r="K50" s="3143">
        <v>3</v>
      </c>
      <c r="N50" s="3144">
        <v>0.65</v>
      </c>
      <c r="P50" s="3143">
        <f>N50*E50</f>
        <v>1153.425</v>
      </c>
    </row>
    <row r="51" spans="2:20">
      <c r="B51" s="3143" t="s">
        <v>3453</v>
      </c>
      <c r="E51" s="3143">
        <v>1774.5</v>
      </c>
      <c r="F51" s="3143">
        <v>671.81</v>
      </c>
      <c r="J51" s="3143">
        <f t="shared" si="4"/>
        <v>2446.31</v>
      </c>
      <c r="K51" s="3143">
        <v>3</v>
      </c>
      <c r="N51" s="3144">
        <v>0.65</v>
      </c>
      <c r="P51" s="3143">
        <f>N51*E51</f>
        <v>1153.425</v>
      </c>
    </row>
    <row r="52" spans="2:20">
      <c r="B52" s="3143" t="s">
        <v>3454</v>
      </c>
      <c r="E52" s="3143">
        <v>763.83</v>
      </c>
      <c r="F52" s="3143">
        <v>287.14</v>
      </c>
      <c r="J52" s="3143">
        <f t="shared" si="4"/>
        <v>1050.97</v>
      </c>
      <c r="K52" s="3143">
        <v>3</v>
      </c>
      <c r="N52" s="3144">
        <v>0.65</v>
      </c>
      <c r="P52" s="3143">
        <f>N52*E52</f>
        <v>496.48950000000002</v>
      </c>
      <c r="Q52" s="3143">
        <f>SUM(P48:P52)</f>
        <v>5240.4105</v>
      </c>
    </row>
    <row r="53" spans="2:20">
      <c r="B53" s="3143" t="s">
        <v>3455</v>
      </c>
      <c r="G53" s="3143">
        <v>23852.28</v>
      </c>
      <c r="H53" s="3143">
        <f>59.46+38.7+767.28+55.79+39.59+116+120+2193.89+4080</f>
        <v>7470.71</v>
      </c>
      <c r="I53" s="3143">
        <v>10008.18</v>
      </c>
      <c r="J53" s="3143">
        <f t="shared" si="4"/>
        <v>41331.17</v>
      </c>
      <c r="L53" s="3143">
        <v>499</v>
      </c>
      <c r="M53" s="3143" t="s">
        <v>3456</v>
      </c>
      <c r="N53" s="3144">
        <v>0.65</v>
      </c>
      <c r="Q53" s="3145"/>
      <c r="T53" s="3145"/>
    </row>
    <row r="54" spans="2:20">
      <c r="B54" s="3143" t="s">
        <v>2586</v>
      </c>
      <c r="C54" s="3143">
        <f t="shared" ref="C54:I54" si="5">SUM(C2:C53)</f>
        <v>26809.469999999998</v>
      </c>
      <c r="D54" s="3143">
        <f t="shared" si="5"/>
        <v>71770.12</v>
      </c>
      <c r="E54" s="3143">
        <f t="shared" si="5"/>
        <v>8062.17</v>
      </c>
      <c r="F54" s="3143">
        <f t="shared" si="5"/>
        <v>8973.9299999999985</v>
      </c>
      <c r="G54" s="3143">
        <f t="shared" si="5"/>
        <v>23852.28</v>
      </c>
      <c r="H54" s="3143">
        <f t="shared" si="5"/>
        <v>7470.71</v>
      </c>
      <c r="I54" s="3143">
        <f t="shared" si="5"/>
        <v>10008.18</v>
      </c>
      <c r="J54" s="3143">
        <f>SUM(J2:J53)</f>
        <v>156946.85999999999</v>
      </c>
      <c r="Q54" s="3145"/>
      <c r="T54" s="3145"/>
    </row>
    <row r="57" spans="2:20">
      <c r="B57" s="3143" t="s">
        <v>3457</v>
      </c>
      <c r="C57" s="3143">
        <v>138563.44</v>
      </c>
    </row>
    <row r="58" spans="2:20">
      <c r="B58" s="3143" t="s">
        <v>3458</v>
      </c>
      <c r="C58" s="3143">
        <f>SUM(C54:G54)</f>
        <v>139467.96999999997</v>
      </c>
    </row>
    <row r="59" spans="2:20">
      <c r="B59" s="3143" t="s">
        <v>3459</v>
      </c>
      <c r="C59" s="3143">
        <f>ROUND(C58/J54*C57,2)</f>
        <v>123131.88</v>
      </c>
    </row>
    <row r="60" spans="2:20">
      <c r="D60" s="3143" t="s">
        <v>3403</v>
      </c>
      <c r="E60" s="3143" t="s">
        <v>3460</v>
      </c>
      <c r="F60" s="3143" t="s">
        <v>3461</v>
      </c>
      <c r="G60" s="3143" t="s">
        <v>3462</v>
      </c>
    </row>
    <row r="61" spans="2:20">
      <c r="B61" s="3143" t="s">
        <v>3463</v>
      </c>
      <c r="C61" s="3143">
        <f>SUM(C2:C19)</f>
        <v>26809.469999999998</v>
      </c>
      <c r="D61" s="3146">
        <f>ROUND(Q19/C61,2)</f>
        <v>0.65</v>
      </c>
      <c r="E61" s="3143">
        <f>[2]假设开发法!E8</f>
        <v>108190</v>
      </c>
      <c r="F61" s="3143">
        <f>ROUND(E61/$E$66*$C$69,0)</f>
        <v>96823</v>
      </c>
      <c r="G61" s="3143">
        <f>ROUND(F61/C61*10000,0)</f>
        <v>36115</v>
      </c>
    </row>
    <row r="62" spans="2:20">
      <c r="B62" s="3143" t="s">
        <v>3464</v>
      </c>
      <c r="C62" s="3143">
        <f>SUM(D20:D47)</f>
        <v>71770.12</v>
      </c>
      <c r="D62" s="3146">
        <f>ROUND(Q47/C62,2)</f>
        <v>0.64</v>
      </c>
      <c r="E62" s="3143">
        <f>[2]假设开发法!C8</f>
        <v>278726</v>
      </c>
      <c r="F62" s="3143">
        <f>ROUND(E62/$E$66*$C$69,0)</f>
        <v>249441</v>
      </c>
      <c r="G62" s="3143">
        <f t="shared" ref="G62:G65" si="6">ROUND(F62/C62*10000,0)</f>
        <v>34756</v>
      </c>
    </row>
    <row r="63" spans="2:20">
      <c r="B63" s="3143" t="s">
        <v>3465</v>
      </c>
      <c r="C63" s="3143">
        <f>SUM(E48:E52)</f>
        <v>8062.17</v>
      </c>
      <c r="D63" s="3146">
        <f>ROUND(Q52/C63,2)</f>
        <v>0.65</v>
      </c>
      <c r="E63" s="3143">
        <f>[2]假设开发法!D8</f>
        <v>33860</v>
      </c>
      <c r="F63" s="3143">
        <f t="shared" ref="F63:F64" si="7">ROUND(E63/$E$66*$C$69,0)</f>
        <v>30302</v>
      </c>
      <c r="G63" s="3143">
        <f t="shared" si="6"/>
        <v>37585</v>
      </c>
    </row>
    <row r="64" spans="2:20">
      <c r="B64" s="3145" t="s">
        <v>3466</v>
      </c>
      <c r="C64" s="3143">
        <f>SUM(F2:F52)</f>
        <v>8973.9299999999985</v>
      </c>
      <c r="D64" s="3147">
        <v>0.65</v>
      </c>
      <c r="E64" s="3143">
        <f>[2]假设开发法!G8</f>
        <v>1410</v>
      </c>
      <c r="F64" s="3143">
        <f t="shared" si="7"/>
        <v>1262</v>
      </c>
      <c r="G64" s="3143">
        <f t="shared" si="6"/>
        <v>1406</v>
      </c>
      <c r="I64" s="3145"/>
    </row>
    <row r="65" spans="2:9">
      <c r="B65" s="3145" t="s">
        <v>3467</v>
      </c>
      <c r="C65" s="3143">
        <f>G53</f>
        <v>23852.28</v>
      </c>
      <c r="D65" s="3147">
        <f>N53</f>
        <v>0.65</v>
      </c>
      <c r="E65" s="3143">
        <f>[2]假设开发法!F8</f>
        <v>3554</v>
      </c>
      <c r="F65" s="3143">
        <f>C69-F61-F62-F63-F64</f>
        <v>3180</v>
      </c>
      <c r="G65" s="3143">
        <f t="shared" si="6"/>
        <v>1333</v>
      </c>
      <c r="I65" s="3145"/>
    </row>
    <row r="66" spans="2:9">
      <c r="B66" s="3143" t="s">
        <v>2586</v>
      </c>
      <c r="C66" s="3143">
        <f>SUM(C61:C65)</f>
        <v>139467.96999999997</v>
      </c>
      <c r="E66" s="3143">
        <f>[2]假设开发法!C4</f>
        <v>425740</v>
      </c>
      <c r="F66" s="3143">
        <f>SUM(F61:F65)</f>
        <v>381008</v>
      </c>
    </row>
    <row r="69" spans="2:9">
      <c r="B69" s="3143" t="s">
        <v>3468</v>
      </c>
      <c r="C69" s="3143">
        <f>[2]结果表!G19</f>
        <v>381008</v>
      </c>
    </row>
    <row r="70" spans="2:9">
      <c r="B70" s="3143" t="s">
        <v>3469</v>
      </c>
      <c r="C70" s="3143">
        <f>[2]结果表!D118</f>
        <v>343288</v>
      </c>
    </row>
    <row r="71" spans="2:9">
      <c r="B71" s="3143" t="s">
        <v>3470</v>
      </c>
      <c r="C71" s="3143">
        <f>[2]结果表!F118</f>
        <v>37720</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AL504"/>
  <sheetViews>
    <sheetView topLeftCell="AB1" workbookViewId="0">
      <selection activeCell="G20" sqref="G20"/>
    </sheetView>
  </sheetViews>
  <sheetFormatPr defaultRowHeight="13.5"/>
  <cols>
    <col min="1" max="21" width="9" style="3148"/>
    <col min="22" max="22" width="10.5" style="3148" bestFit="1" customWidth="1"/>
    <col min="23" max="16384" width="9" style="3148"/>
  </cols>
  <sheetData>
    <row r="1" spans="1:38" ht="15.75" thickBot="1">
      <c r="A1" s="3250" t="s">
        <v>3471</v>
      </c>
      <c r="B1" s="3250"/>
      <c r="C1" s="3250"/>
      <c r="D1" s="3250"/>
      <c r="E1" s="3250"/>
      <c r="F1" s="3250"/>
      <c r="G1" s="3250"/>
      <c r="I1" s="3250" t="s">
        <v>3472</v>
      </c>
      <c r="J1" s="3250"/>
      <c r="K1" s="3250"/>
      <c r="L1" s="3250"/>
      <c r="M1" s="3250"/>
      <c r="N1" s="3250"/>
      <c r="P1" s="3250" t="s">
        <v>3473</v>
      </c>
      <c r="Q1" s="3250"/>
      <c r="R1" s="3250"/>
      <c r="S1" s="3250"/>
      <c r="T1" s="3250"/>
      <c r="U1" s="3250"/>
      <c r="V1" s="3250"/>
      <c r="X1" s="3250" t="s">
        <v>3474</v>
      </c>
      <c r="Y1" s="3250"/>
      <c r="Z1" s="3250"/>
      <c r="AA1" s="3250"/>
      <c r="AB1" s="3250"/>
      <c r="AC1" s="3250"/>
      <c r="AD1" s="3250"/>
      <c r="AF1" s="3250" t="s">
        <v>3475</v>
      </c>
      <c r="AG1" s="3250"/>
      <c r="AH1" s="3250"/>
      <c r="AI1" s="3250"/>
      <c r="AJ1" s="3250"/>
      <c r="AK1" s="3250"/>
      <c r="AL1" s="3250"/>
    </row>
    <row r="2" spans="1:38" ht="26.25" thickBot="1">
      <c r="A2" s="3149" t="s">
        <v>3476</v>
      </c>
      <c r="B2" s="3150" t="s">
        <v>3477</v>
      </c>
      <c r="C2" s="3150" t="s">
        <v>3478</v>
      </c>
      <c r="D2" s="3150" t="s">
        <v>3479</v>
      </c>
      <c r="E2" s="3150" t="s">
        <v>3480</v>
      </c>
      <c r="F2" s="3151" t="s">
        <v>3481</v>
      </c>
      <c r="G2" s="3151" t="s">
        <v>3482</v>
      </c>
      <c r="I2" s="3149" t="s">
        <v>3476</v>
      </c>
      <c r="J2" s="3150" t="s">
        <v>3477</v>
      </c>
      <c r="K2" s="3150" t="s">
        <v>3479</v>
      </c>
      <c r="L2" s="3150" t="s">
        <v>3480</v>
      </c>
      <c r="M2" s="3151" t="s">
        <v>3481</v>
      </c>
      <c r="N2" s="3151" t="s">
        <v>3483</v>
      </c>
      <c r="P2" s="3149" t="s">
        <v>3476</v>
      </c>
      <c r="Q2" s="3150" t="s">
        <v>3477</v>
      </c>
      <c r="R2" s="3150" t="s">
        <v>3478</v>
      </c>
      <c r="S2" s="3150" t="s">
        <v>3479</v>
      </c>
      <c r="T2" s="3150" t="s">
        <v>3480</v>
      </c>
      <c r="U2" s="3151" t="s">
        <v>3481</v>
      </c>
      <c r="V2" s="3151" t="s">
        <v>3483</v>
      </c>
      <c r="X2" s="3149" t="s">
        <v>3476</v>
      </c>
      <c r="Y2" s="3150" t="s">
        <v>3477</v>
      </c>
      <c r="Z2" s="3150" t="s">
        <v>3478</v>
      </c>
      <c r="AA2" s="3150" t="s">
        <v>3479</v>
      </c>
      <c r="AB2" s="3150" t="s">
        <v>3480</v>
      </c>
      <c r="AC2" s="3151" t="s">
        <v>3481</v>
      </c>
      <c r="AD2" s="3151" t="s">
        <v>3483</v>
      </c>
      <c r="AF2" s="3149" t="s">
        <v>3476</v>
      </c>
      <c r="AG2" s="3150" t="s">
        <v>3484</v>
      </c>
      <c r="AH2" s="3150" t="s">
        <v>3485</v>
      </c>
      <c r="AI2" s="3150" t="s">
        <v>3486</v>
      </c>
      <c r="AJ2" s="3150" t="s">
        <v>3487</v>
      </c>
      <c r="AK2" s="3151" t="s">
        <v>3481</v>
      </c>
      <c r="AL2" s="3151" t="s">
        <v>3482</v>
      </c>
    </row>
    <row r="3" spans="1:38" ht="14.25" thickBot="1">
      <c r="A3" s="3152">
        <v>1</v>
      </c>
      <c r="B3" s="3153" t="s">
        <v>3488</v>
      </c>
      <c r="C3" s="3153">
        <v>1</v>
      </c>
      <c r="D3" s="3153">
        <v>101</v>
      </c>
      <c r="E3" s="3153">
        <v>194.46</v>
      </c>
      <c r="F3" s="3153">
        <f>ROUND(G3*E3/10000,1)</f>
        <v>675.9</v>
      </c>
      <c r="G3" s="3153">
        <f>测绘面积!G62</f>
        <v>34756</v>
      </c>
      <c r="I3" s="3154">
        <v>1</v>
      </c>
      <c r="J3" s="3155" t="s">
        <v>3489</v>
      </c>
      <c r="K3" s="3155">
        <v>101</v>
      </c>
      <c r="L3" s="3155">
        <v>250.66</v>
      </c>
      <c r="M3" s="3153">
        <f>ROUND(N3*L3/10000,1)</f>
        <v>942.1</v>
      </c>
      <c r="N3" s="3153">
        <f>测绘面积!G63</f>
        <v>37585</v>
      </c>
      <c r="P3" s="3152">
        <v>1</v>
      </c>
      <c r="Q3" s="3153" t="s">
        <v>3490</v>
      </c>
      <c r="R3" s="3153">
        <v>1</v>
      </c>
      <c r="S3" s="3153">
        <v>101</v>
      </c>
      <c r="T3" s="3153">
        <v>303.67</v>
      </c>
      <c r="U3" s="3153">
        <f>ROUND(V3*T3/10000,1)</f>
        <v>1096.7</v>
      </c>
      <c r="V3" s="3153">
        <f>测绘面积!G61</f>
        <v>36115</v>
      </c>
      <c r="X3" s="3154">
        <v>1</v>
      </c>
      <c r="Y3" s="3155" t="s">
        <v>3489</v>
      </c>
      <c r="Z3" s="3153" t="s">
        <v>43</v>
      </c>
      <c r="AA3" s="3155">
        <v>-101</v>
      </c>
      <c r="AB3" s="3155">
        <v>95.34</v>
      </c>
      <c r="AC3" s="3153">
        <f>ROUND(AD3*AB3/10000,1)</f>
        <v>13.4</v>
      </c>
      <c r="AD3" s="3153">
        <f>测绘面积!G64</f>
        <v>1406</v>
      </c>
      <c r="AF3" s="3152">
        <v>1</v>
      </c>
      <c r="AG3" s="3156" t="s">
        <v>3491</v>
      </c>
      <c r="AH3" s="3156" t="s">
        <v>3392</v>
      </c>
      <c r="AI3" s="3153">
        <v>1001</v>
      </c>
      <c r="AJ3" s="3153">
        <v>44.93</v>
      </c>
      <c r="AK3" s="3153">
        <f>ROUND(AL3*AJ3/10000,2)</f>
        <v>5.99</v>
      </c>
      <c r="AL3" s="3153">
        <f>测绘面积!G65</f>
        <v>1333</v>
      </c>
    </row>
    <row r="4" spans="1:38" ht="14.25" thickBot="1">
      <c r="A4" s="3152">
        <v>2</v>
      </c>
      <c r="B4" s="3153" t="s">
        <v>3488</v>
      </c>
      <c r="C4" s="3153">
        <v>1</v>
      </c>
      <c r="D4" s="3153">
        <v>102</v>
      </c>
      <c r="E4" s="3153">
        <v>178.17</v>
      </c>
      <c r="F4" s="3153">
        <f t="shared" ref="F4:F67" si="0">ROUND(G4*E4/10000,1)</f>
        <v>619.20000000000005</v>
      </c>
      <c r="G4" s="3153">
        <f>G3</f>
        <v>34756</v>
      </c>
      <c r="I4" s="3154">
        <v>2</v>
      </c>
      <c r="J4" s="3155" t="s">
        <v>3489</v>
      </c>
      <c r="K4" s="3155">
        <v>102</v>
      </c>
      <c r="L4" s="3155">
        <v>249.32</v>
      </c>
      <c r="M4" s="3153">
        <f t="shared" ref="M4:M33" si="1">ROUND(N4*L4/10000,1)</f>
        <v>937.1</v>
      </c>
      <c r="N4" s="3153">
        <f>N3</f>
        <v>37585</v>
      </c>
      <c r="P4" s="3152">
        <v>2</v>
      </c>
      <c r="Q4" s="3153" t="s">
        <v>3490</v>
      </c>
      <c r="R4" s="3153">
        <v>1</v>
      </c>
      <c r="S4" s="3153">
        <v>102</v>
      </c>
      <c r="T4" s="3153">
        <v>303.67</v>
      </c>
      <c r="U4" s="3153">
        <f t="shared" ref="U4:U67" si="2">ROUND(V4*T4/10000,1)</f>
        <v>1096.7</v>
      </c>
      <c r="V4" s="3153">
        <f>V3</f>
        <v>36115</v>
      </c>
      <c r="X4" s="3154">
        <v>2</v>
      </c>
      <c r="Y4" s="3155" t="s">
        <v>3489</v>
      </c>
      <c r="Z4" s="3153" t="s">
        <v>43</v>
      </c>
      <c r="AA4" s="3155">
        <v>-102</v>
      </c>
      <c r="AB4" s="3155">
        <v>95.75</v>
      </c>
      <c r="AC4" s="3153">
        <f t="shared" ref="AC4:AC67" si="3">ROUND(AD4*AB4/10000,1)</f>
        <v>13.5</v>
      </c>
      <c r="AD4" s="3153">
        <f>AD3</f>
        <v>1406</v>
      </c>
      <c r="AF4" s="3152">
        <v>2</v>
      </c>
      <c r="AG4" s="3156" t="s">
        <v>3491</v>
      </c>
      <c r="AH4" s="3156" t="s">
        <v>3392</v>
      </c>
      <c r="AI4" s="3153">
        <v>1002</v>
      </c>
      <c r="AJ4" s="3153">
        <v>47.92</v>
      </c>
      <c r="AK4" s="3153">
        <f t="shared" ref="AK4:AK67" si="4">ROUND(AL4*AJ4/10000,2)</f>
        <v>6.39</v>
      </c>
      <c r="AL4" s="3153">
        <f>AL3</f>
        <v>1333</v>
      </c>
    </row>
    <row r="5" spans="1:38" ht="14.25" thickBot="1">
      <c r="A5" s="3152">
        <v>3</v>
      </c>
      <c r="B5" s="3153" t="s">
        <v>3488</v>
      </c>
      <c r="C5" s="3153">
        <v>1</v>
      </c>
      <c r="D5" s="3153">
        <v>301</v>
      </c>
      <c r="E5" s="3153">
        <v>194.46</v>
      </c>
      <c r="F5" s="3153">
        <f t="shared" si="0"/>
        <v>675.9</v>
      </c>
      <c r="G5" s="3153">
        <f t="shared" ref="G5:G68" si="5">G4</f>
        <v>34756</v>
      </c>
      <c r="I5" s="3154">
        <v>3</v>
      </c>
      <c r="J5" s="3155" t="s">
        <v>3489</v>
      </c>
      <c r="K5" s="3155">
        <v>103</v>
      </c>
      <c r="L5" s="3155">
        <v>249.32</v>
      </c>
      <c r="M5" s="3153">
        <f t="shared" si="1"/>
        <v>937.1</v>
      </c>
      <c r="N5" s="3153">
        <f t="shared" ref="N5:N34" si="6">N4</f>
        <v>37585</v>
      </c>
      <c r="P5" s="3152">
        <v>3</v>
      </c>
      <c r="Q5" s="3153" t="s">
        <v>3490</v>
      </c>
      <c r="R5" s="3153">
        <v>2</v>
      </c>
      <c r="S5" s="3153">
        <v>101</v>
      </c>
      <c r="T5" s="3153">
        <v>335.74</v>
      </c>
      <c r="U5" s="3153">
        <f t="shared" si="2"/>
        <v>1212.5</v>
      </c>
      <c r="V5" s="3153">
        <f t="shared" ref="V5:V68" si="7">V4</f>
        <v>36115</v>
      </c>
      <c r="X5" s="3154">
        <v>3</v>
      </c>
      <c r="Y5" s="3155" t="s">
        <v>3489</v>
      </c>
      <c r="Z5" s="3153" t="s">
        <v>43</v>
      </c>
      <c r="AA5" s="3155">
        <v>-103</v>
      </c>
      <c r="AB5" s="3155">
        <v>95.15</v>
      </c>
      <c r="AC5" s="3153">
        <f t="shared" si="3"/>
        <v>13.4</v>
      </c>
      <c r="AD5" s="3153">
        <f t="shared" ref="AD5:AD68" si="8">AD4</f>
        <v>1406</v>
      </c>
      <c r="AF5" s="3152">
        <v>3</v>
      </c>
      <c r="AG5" s="3156" t="s">
        <v>3491</v>
      </c>
      <c r="AH5" s="3156" t="s">
        <v>3392</v>
      </c>
      <c r="AI5" s="3153">
        <v>1003</v>
      </c>
      <c r="AJ5" s="3153">
        <v>47.92</v>
      </c>
      <c r="AK5" s="3153">
        <f t="shared" si="4"/>
        <v>6.39</v>
      </c>
      <c r="AL5" s="3153">
        <f t="shared" ref="AL5:AL68" si="9">AL4</f>
        <v>1333</v>
      </c>
    </row>
    <row r="6" spans="1:38" ht="14.25" thickBot="1">
      <c r="A6" s="3152">
        <v>4</v>
      </c>
      <c r="B6" s="3153" t="s">
        <v>3488</v>
      </c>
      <c r="C6" s="3153">
        <v>1</v>
      </c>
      <c r="D6" s="3153">
        <v>302</v>
      </c>
      <c r="E6" s="3153">
        <v>178.17</v>
      </c>
      <c r="F6" s="3153">
        <f t="shared" si="0"/>
        <v>619.20000000000005</v>
      </c>
      <c r="G6" s="3153">
        <f t="shared" si="5"/>
        <v>34756</v>
      </c>
      <c r="I6" s="3154">
        <v>4</v>
      </c>
      <c r="J6" s="3155" t="s">
        <v>3489</v>
      </c>
      <c r="K6" s="3155">
        <v>104</v>
      </c>
      <c r="L6" s="3155">
        <v>249.32</v>
      </c>
      <c r="M6" s="3153">
        <f t="shared" si="1"/>
        <v>937.1</v>
      </c>
      <c r="N6" s="3153">
        <f t="shared" si="6"/>
        <v>37585</v>
      </c>
      <c r="P6" s="3152">
        <v>4</v>
      </c>
      <c r="Q6" s="3153" t="s">
        <v>3490</v>
      </c>
      <c r="R6" s="3153">
        <v>2</v>
      </c>
      <c r="S6" s="3153">
        <v>102</v>
      </c>
      <c r="T6" s="3153">
        <v>335.74</v>
      </c>
      <c r="U6" s="3153">
        <f t="shared" si="2"/>
        <v>1212.5</v>
      </c>
      <c r="V6" s="3153">
        <f t="shared" si="7"/>
        <v>36115</v>
      </c>
      <c r="X6" s="3154">
        <v>4</v>
      </c>
      <c r="Y6" s="3155" t="s">
        <v>3489</v>
      </c>
      <c r="Z6" s="3153" t="s">
        <v>43</v>
      </c>
      <c r="AA6" s="3155">
        <v>-104</v>
      </c>
      <c r="AB6" s="3155">
        <v>94.88</v>
      </c>
      <c r="AC6" s="3153">
        <f t="shared" si="3"/>
        <v>13.3</v>
      </c>
      <c r="AD6" s="3153">
        <f t="shared" si="8"/>
        <v>1406</v>
      </c>
      <c r="AF6" s="3152">
        <v>4</v>
      </c>
      <c r="AG6" s="3156" t="s">
        <v>3491</v>
      </c>
      <c r="AH6" s="3156" t="s">
        <v>3392</v>
      </c>
      <c r="AI6" s="3153">
        <v>1004</v>
      </c>
      <c r="AJ6" s="3153">
        <v>47.92</v>
      </c>
      <c r="AK6" s="3153">
        <f t="shared" si="4"/>
        <v>6.39</v>
      </c>
      <c r="AL6" s="3153">
        <f t="shared" si="9"/>
        <v>1333</v>
      </c>
    </row>
    <row r="7" spans="1:38" ht="14.25" thickBot="1">
      <c r="A7" s="3152">
        <v>5</v>
      </c>
      <c r="B7" s="3153" t="s">
        <v>3488</v>
      </c>
      <c r="C7" s="3153">
        <v>1</v>
      </c>
      <c r="D7" s="3153">
        <v>501</v>
      </c>
      <c r="E7" s="3153">
        <v>179.51</v>
      </c>
      <c r="F7" s="3153">
        <f t="shared" si="0"/>
        <v>623.9</v>
      </c>
      <c r="G7" s="3153">
        <f t="shared" si="5"/>
        <v>34756</v>
      </c>
      <c r="I7" s="3154">
        <v>5</v>
      </c>
      <c r="J7" s="3155" t="s">
        <v>3489</v>
      </c>
      <c r="K7" s="3155">
        <v>105</v>
      </c>
      <c r="L7" s="3155">
        <v>249.32</v>
      </c>
      <c r="M7" s="3153">
        <f t="shared" si="1"/>
        <v>937.1</v>
      </c>
      <c r="N7" s="3153">
        <f t="shared" si="6"/>
        <v>37585</v>
      </c>
      <c r="P7" s="3152">
        <v>5</v>
      </c>
      <c r="Q7" s="3153" t="s">
        <v>3492</v>
      </c>
      <c r="R7" s="3153">
        <v>1</v>
      </c>
      <c r="S7" s="3153">
        <v>101</v>
      </c>
      <c r="T7" s="3153">
        <v>303.64999999999998</v>
      </c>
      <c r="U7" s="3153">
        <f t="shared" si="2"/>
        <v>1096.5999999999999</v>
      </c>
      <c r="V7" s="3153">
        <f t="shared" si="7"/>
        <v>36115</v>
      </c>
      <c r="X7" s="3154">
        <v>5</v>
      </c>
      <c r="Y7" s="3155" t="s">
        <v>3489</v>
      </c>
      <c r="Z7" s="3153" t="s">
        <v>43</v>
      </c>
      <c r="AA7" s="3155">
        <v>-105</v>
      </c>
      <c r="AB7" s="3155">
        <v>94.88</v>
      </c>
      <c r="AC7" s="3153">
        <f t="shared" si="3"/>
        <v>13.3</v>
      </c>
      <c r="AD7" s="3153">
        <f t="shared" si="8"/>
        <v>1406</v>
      </c>
      <c r="AF7" s="3152">
        <v>5</v>
      </c>
      <c r="AG7" s="3156" t="s">
        <v>3491</v>
      </c>
      <c r="AH7" s="3156" t="s">
        <v>3392</v>
      </c>
      <c r="AI7" s="3153">
        <v>1005</v>
      </c>
      <c r="AJ7" s="3153">
        <v>47.92</v>
      </c>
      <c r="AK7" s="3153">
        <f t="shared" si="4"/>
        <v>6.39</v>
      </c>
      <c r="AL7" s="3153">
        <f t="shared" si="9"/>
        <v>1333</v>
      </c>
    </row>
    <row r="8" spans="1:38" ht="14.25" thickBot="1">
      <c r="A8" s="3152">
        <v>6</v>
      </c>
      <c r="B8" s="3153" t="s">
        <v>3488</v>
      </c>
      <c r="C8" s="3153">
        <v>2</v>
      </c>
      <c r="D8" s="3153">
        <v>101</v>
      </c>
      <c r="E8" s="3153">
        <v>178.17</v>
      </c>
      <c r="F8" s="3153">
        <f t="shared" si="0"/>
        <v>619.20000000000005</v>
      </c>
      <c r="G8" s="3153">
        <f t="shared" si="5"/>
        <v>34756</v>
      </c>
      <c r="I8" s="3154">
        <v>6</v>
      </c>
      <c r="J8" s="3155" t="s">
        <v>3489</v>
      </c>
      <c r="K8" s="3155">
        <v>106</v>
      </c>
      <c r="L8" s="3155">
        <v>249.32</v>
      </c>
      <c r="M8" s="3153">
        <f t="shared" si="1"/>
        <v>937.1</v>
      </c>
      <c r="N8" s="3153">
        <f t="shared" si="6"/>
        <v>37585</v>
      </c>
      <c r="P8" s="3152">
        <v>6</v>
      </c>
      <c r="Q8" s="3153" t="s">
        <v>3492</v>
      </c>
      <c r="R8" s="3153">
        <v>1</v>
      </c>
      <c r="S8" s="3153">
        <v>102</v>
      </c>
      <c r="T8" s="3153">
        <v>303.64999999999998</v>
      </c>
      <c r="U8" s="3153">
        <f t="shared" si="2"/>
        <v>1096.5999999999999</v>
      </c>
      <c r="V8" s="3153">
        <f t="shared" si="7"/>
        <v>36115</v>
      </c>
      <c r="X8" s="3154">
        <v>6</v>
      </c>
      <c r="Y8" s="3155" t="s">
        <v>3489</v>
      </c>
      <c r="Z8" s="3153" t="s">
        <v>43</v>
      </c>
      <c r="AA8" s="3155">
        <v>-106</v>
      </c>
      <c r="AB8" s="3155">
        <v>94.88</v>
      </c>
      <c r="AC8" s="3153">
        <f t="shared" si="3"/>
        <v>13.3</v>
      </c>
      <c r="AD8" s="3153">
        <f t="shared" si="8"/>
        <v>1406</v>
      </c>
      <c r="AF8" s="3152">
        <v>6</v>
      </c>
      <c r="AG8" s="3156" t="s">
        <v>3491</v>
      </c>
      <c r="AH8" s="3156" t="s">
        <v>3392</v>
      </c>
      <c r="AI8" s="3153">
        <v>1006</v>
      </c>
      <c r="AJ8" s="3153">
        <v>44.93</v>
      </c>
      <c r="AK8" s="3153">
        <f t="shared" si="4"/>
        <v>5.99</v>
      </c>
      <c r="AL8" s="3153">
        <f t="shared" si="9"/>
        <v>1333</v>
      </c>
    </row>
    <row r="9" spans="1:38" ht="14.25" thickBot="1">
      <c r="A9" s="3152">
        <v>7</v>
      </c>
      <c r="B9" s="3153" t="s">
        <v>3488</v>
      </c>
      <c r="C9" s="3153">
        <v>2</v>
      </c>
      <c r="D9" s="3153">
        <v>102</v>
      </c>
      <c r="E9" s="3153">
        <v>194.46</v>
      </c>
      <c r="F9" s="3153">
        <f t="shared" si="0"/>
        <v>675.9</v>
      </c>
      <c r="G9" s="3153">
        <f t="shared" si="5"/>
        <v>34756</v>
      </c>
      <c r="I9" s="3154">
        <v>7</v>
      </c>
      <c r="J9" s="3155" t="s">
        <v>3489</v>
      </c>
      <c r="K9" s="3155">
        <v>107</v>
      </c>
      <c r="L9" s="3155">
        <v>249.32</v>
      </c>
      <c r="M9" s="3153">
        <f t="shared" si="1"/>
        <v>937.1</v>
      </c>
      <c r="N9" s="3153">
        <f t="shared" si="6"/>
        <v>37585</v>
      </c>
      <c r="P9" s="3152">
        <v>7</v>
      </c>
      <c r="Q9" s="3153" t="s">
        <v>3492</v>
      </c>
      <c r="R9" s="3153">
        <v>2</v>
      </c>
      <c r="S9" s="3153">
        <v>101</v>
      </c>
      <c r="T9" s="3153">
        <v>274.95999999999998</v>
      </c>
      <c r="U9" s="3153">
        <f t="shared" si="2"/>
        <v>993</v>
      </c>
      <c r="V9" s="3153">
        <f t="shared" si="7"/>
        <v>36115</v>
      </c>
      <c r="X9" s="3154">
        <v>7</v>
      </c>
      <c r="Y9" s="3155" t="s">
        <v>3489</v>
      </c>
      <c r="Z9" s="3153" t="s">
        <v>43</v>
      </c>
      <c r="AA9" s="3155">
        <v>-107</v>
      </c>
      <c r="AB9" s="3155">
        <v>94.88</v>
      </c>
      <c r="AC9" s="3153">
        <f t="shared" si="3"/>
        <v>13.3</v>
      </c>
      <c r="AD9" s="3153">
        <f t="shared" si="8"/>
        <v>1406</v>
      </c>
      <c r="AF9" s="3152">
        <v>7</v>
      </c>
      <c r="AG9" s="3156" t="s">
        <v>3491</v>
      </c>
      <c r="AH9" s="3156" t="s">
        <v>3392</v>
      </c>
      <c r="AI9" s="3153">
        <v>1007</v>
      </c>
      <c r="AJ9" s="3153">
        <v>47.92</v>
      </c>
      <c r="AK9" s="3153">
        <f t="shared" si="4"/>
        <v>6.39</v>
      </c>
      <c r="AL9" s="3153">
        <f t="shared" si="9"/>
        <v>1333</v>
      </c>
    </row>
    <row r="10" spans="1:38" ht="14.25" thickBot="1">
      <c r="A10" s="3152">
        <v>8</v>
      </c>
      <c r="B10" s="3153" t="s">
        <v>3488</v>
      </c>
      <c r="C10" s="3153">
        <v>2</v>
      </c>
      <c r="D10" s="3153">
        <v>301</v>
      </c>
      <c r="E10" s="3153">
        <v>178.17</v>
      </c>
      <c r="F10" s="3153">
        <f t="shared" si="0"/>
        <v>619.20000000000005</v>
      </c>
      <c r="G10" s="3153">
        <f t="shared" si="5"/>
        <v>34756</v>
      </c>
      <c r="I10" s="3154">
        <v>8</v>
      </c>
      <c r="J10" s="3155" t="s">
        <v>3489</v>
      </c>
      <c r="K10" s="3155">
        <v>108</v>
      </c>
      <c r="L10" s="3155">
        <v>250.66</v>
      </c>
      <c r="M10" s="3153">
        <f t="shared" si="1"/>
        <v>942.1</v>
      </c>
      <c r="N10" s="3153">
        <f t="shared" si="6"/>
        <v>37585</v>
      </c>
      <c r="P10" s="3152">
        <v>8</v>
      </c>
      <c r="Q10" s="3153" t="s">
        <v>3492</v>
      </c>
      <c r="R10" s="3153">
        <v>2</v>
      </c>
      <c r="S10" s="3153">
        <v>102</v>
      </c>
      <c r="T10" s="3153">
        <v>274.95999999999998</v>
      </c>
      <c r="U10" s="3153">
        <f t="shared" si="2"/>
        <v>993</v>
      </c>
      <c r="V10" s="3153">
        <f t="shared" si="7"/>
        <v>36115</v>
      </c>
      <c r="X10" s="3154">
        <v>8</v>
      </c>
      <c r="Y10" s="3155" t="s">
        <v>3489</v>
      </c>
      <c r="Z10" s="3153" t="s">
        <v>43</v>
      </c>
      <c r="AA10" s="3155">
        <v>-108</v>
      </c>
      <c r="AB10" s="3155">
        <v>96.25</v>
      </c>
      <c r="AC10" s="3153">
        <f t="shared" si="3"/>
        <v>13.5</v>
      </c>
      <c r="AD10" s="3153">
        <f t="shared" si="8"/>
        <v>1406</v>
      </c>
      <c r="AF10" s="3152">
        <v>8</v>
      </c>
      <c r="AG10" s="3156" t="s">
        <v>3491</v>
      </c>
      <c r="AH10" s="3156" t="s">
        <v>3392</v>
      </c>
      <c r="AI10" s="3153">
        <v>1008</v>
      </c>
      <c r="AJ10" s="3153">
        <v>47.92</v>
      </c>
      <c r="AK10" s="3153">
        <f t="shared" si="4"/>
        <v>6.39</v>
      </c>
      <c r="AL10" s="3153">
        <f t="shared" si="9"/>
        <v>1333</v>
      </c>
    </row>
    <row r="11" spans="1:38" ht="14.25" thickBot="1">
      <c r="A11" s="3152">
        <v>9</v>
      </c>
      <c r="B11" s="3153" t="s">
        <v>3488</v>
      </c>
      <c r="C11" s="3153">
        <v>2</v>
      </c>
      <c r="D11" s="3153">
        <v>302</v>
      </c>
      <c r="E11" s="3153">
        <v>194.46</v>
      </c>
      <c r="F11" s="3153">
        <f t="shared" si="0"/>
        <v>675.9</v>
      </c>
      <c r="G11" s="3153">
        <f t="shared" si="5"/>
        <v>34756</v>
      </c>
      <c r="I11" s="3154">
        <v>9</v>
      </c>
      <c r="J11" s="3155" t="s">
        <v>3493</v>
      </c>
      <c r="K11" s="3155">
        <v>101</v>
      </c>
      <c r="L11" s="3155">
        <v>251.66</v>
      </c>
      <c r="M11" s="3153">
        <f t="shared" si="1"/>
        <v>945.9</v>
      </c>
      <c r="N11" s="3153">
        <f t="shared" si="6"/>
        <v>37585</v>
      </c>
      <c r="P11" s="3152">
        <v>9</v>
      </c>
      <c r="Q11" s="3153" t="s">
        <v>3492</v>
      </c>
      <c r="R11" s="3153">
        <v>3</v>
      </c>
      <c r="S11" s="3153">
        <v>101</v>
      </c>
      <c r="T11" s="3153">
        <v>335.71</v>
      </c>
      <c r="U11" s="3153">
        <f t="shared" si="2"/>
        <v>1212.4000000000001</v>
      </c>
      <c r="V11" s="3153">
        <f t="shared" si="7"/>
        <v>36115</v>
      </c>
      <c r="X11" s="3154">
        <v>9</v>
      </c>
      <c r="Y11" s="3155" t="s">
        <v>3493</v>
      </c>
      <c r="Z11" s="3153" t="s">
        <v>43</v>
      </c>
      <c r="AA11" s="3155">
        <v>-101</v>
      </c>
      <c r="AB11" s="3155">
        <v>93.87</v>
      </c>
      <c r="AC11" s="3153">
        <f t="shared" si="3"/>
        <v>13.2</v>
      </c>
      <c r="AD11" s="3153">
        <f t="shared" si="8"/>
        <v>1406</v>
      </c>
      <c r="AF11" s="3152">
        <v>9</v>
      </c>
      <c r="AG11" s="3156" t="s">
        <v>3491</v>
      </c>
      <c r="AH11" s="3156" t="s">
        <v>3392</v>
      </c>
      <c r="AI11" s="3153">
        <v>1009</v>
      </c>
      <c r="AJ11" s="3153">
        <v>47.92</v>
      </c>
      <c r="AK11" s="3153">
        <f t="shared" si="4"/>
        <v>6.39</v>
      </c>
      <c r="AL11" s="3153">
        <f t="shared" si="9"/>
        <v>1333</v>
      </c>
    </row>
    <row r="12" spans="1:38" ht="14.25" thickBot="1">
      <c r="A12" s="3152">
        <v>10</v>
      </c>
      <c r="B12" s="3153" t="s">
        <v>3494</v>
      </c>
      <c r="C12" s="3153">
        <v>1</v>
      </c>
      <c r="D12" s="3153">
        <v>101</v>
      </c>
      <c r="E12" s="3153">
        <v>193.85</v>
      </c>
      <c r="F12" s="3153">
        <f t="shared" si="0"/>
        <v>673.7</v>
      </c>
      <c r="G12" s="3153">
        <f t="shared" si="5"/>
        <v>34756</v>
      </c>
      <c r="I12" s="3154">
        <v>10</v>
      </c>
      <c r="J12" s="3155" t="s">
        <v>3493</v>
      </c>
      <c r="K12" s="3155">
        <v>102</v>
      </c>
      <c r="L12" s="3155">
        <v>250.15</v>
      </c>
      <c r="M12" s="3153">
        <f t="shared" si="1"/>
        <v>940.2</v>
      </c>
      <c r="N12" s="3153">
        <f t="shared" si="6"/>
        <v>37585</v>
      </c>
      <c r="P12" s="3152">
        <v>10</v>
      </c>
      <c r="Q12" s="3153" t="s">
        <v>3492</v>
      </c>
      <c r="R12" s="3153">
        <v>3</v>
      </c>
      <c r="S12" s="3153">
        <v>102</v>
      </c>
      <c r="T12" s="3153">
        <v>335.71</v>
      </c>
      <c r="U12" s="3153">
        <f t="shared" si="2"/>
        <v>1212.4000000000001</v>
      </c>
      <c r="V12" s="3153">
        <f t="shared" si="7"/>
        <v>36115</v>
      </c>
      <c r="X12" s="3154">
        <v>10</v>
      </c>
      <c r="Y12" s="3155" t="s">
        <v>3493</v>
      </c>
      <c r="Z12" s="3153" t="s">
        <v>43</v>
      </c>
      <c r="AA12" s="3155">
        <v>-102</v>
      </c>
      <c r="AB12" s="3155">
        <v>95</v>
      </c>
      <c r="AC12" s="3153">
        <f t="shared" si="3"/>
        <v>13.4</v>
      </c>
      <c r="AD12" s="3153">
        <f t="shared" si="8"/>
        <v>1406</v>
      </c>
      <c r="AF12" s="3152">
        <v>10</v>
      </c>
      <c r="AG12" s="3156" t="s">
        <v>3491</v>
      </c>
      <c r="AH12" s="3156" t="s">
        <v>3392</v>
      </c>
      <c r="AI12" s="3153">
        <v>1010</v>
      </c>
      <c r="AJ12" s="3153">
        <v>47.92</v>
      </c>
      <c r="AK12" s="3153">
        <f t="shared" si="4"/>
        <v>6.39</v>
      </c>
      <c r="AL12" s="3153">
        <f t="shared" si="9"/>
        <v>1333</v>
      </c>
    </row>
    <row r="13" spans="1:38" ht="14.25" thickBot="1">
      <c r="A13" s="3152">
        <v>11</v>
      </c>
      <c r="B13" s="3153" t="s">
        <v>3494</v>
      </c>
      <c r="C13" s="3153">
        <v>1</v>
      </c>
      <c r="D13" s="3153">
        <v>102</v>
      </c>
      <c r="E13" s="3153">
        <v>177.61</v>
      </c>
      <c r="F13" s="3153">
        <f t="shared" si="0"/>
        <v>617.29999999999995</v>
      </c>
      <c r="G13" s="3153">
        <f t="shared" si="5"/>
        <v>34756</v>
      </c>
      <c r="I13" s="3154">
        <v>11</v>
      </c>
      <c r="J13" s="3155" t="s">
        <v>3493</v>
      </c>
      <c r="K13" s="3155">
        <v>103</v>
      </c>
      <c r="L13" s="3155">
        <v>249.79</v>
      </c>
      <c r="M13" s="3153">
        <f t="shared" si="1"/>
        <v>938.8</v>
      </c>
      <c r="N13" s="3153">
        <f t="shared" si="6"/>
        <v>37585</v>
      </c>
      <c r="P13" s="3152">
        <v>11</v>
      </c>
      <c r="Q13" s="3153" t="s">
        <v>3495</v>
      </c>
      <c r="R13" s="3153">
        <v>1</v>
      </c>
      <c r="S13" s="3153">
        <v>101</v>
      </c>
      <c r="T13" s="3153">
        <v>303.64999999999998</v>
      </c>
      <c r="U13" s="3153">
        <f t="shared" si="2"/>
        <v>1096.5999999999999</v>
      </c>
      <c r="V13" s="3153">
        <f t="shared" si="7"/>
        <v>36115</v>
      </c>
      <c r="X13" s="3154">
        <v>11</v>
      </c>
      <c r="Y13" s="3155" t="s">
        <v>3493</v>
      </c>
      <c r="Z13" s="3153" t="s">
        <v>43</v>
      </c>
      <c r="AA13" s="3155">
        <v>-103</v>
      </c>
      <c r="AB13" s="3155">
        <v>96.39</v>
      </c>
      <c r="AC13" s="3153">
        <f t="shared" si="3"/>
        <v>13.6</v>
      </c>
      <c r="AD13" s="3153">
        <f t="shared" si="8"/>
        <v>1406</v>
      </c>
      <c r="AF13" s="3152">
        <v>11</v>
      </c>
      <c r="AG13" s="3156" t="s">
        <v>3491</v>
      </c>
      <c r="AH13" s="3156" t="s">
        <v>3392</v>
      </c>
      <c r="AI13" s="3153">
        <v>1011</v>
      </c>
      <c r="AJ13" s="3153">
        <v>47.92</v>
      </c>
      <c r="AK13" s="3153">
        <f t="shared" si="4"/>
        <v>6.39</v>
      </c>
      <c r="AL13" s="3153">
        <f t="shared" si="9"/>
        <v>1333</v>
      </c>
    </row>
    <row r="14" spans="1:38" ht="14.25" thickBot="1">
      <c r="A14" s="3152">
        <v>12</v>
      </c>
      <c r="B14" s="3153" t="s">
        <v>3494</v>
      </c>
      <c r="C14" s="3153">
        <v>1</v>
      </c>
      <c r="D14" s="3153">
        <v>301</v>
      </c>
      <c r="E14" s="3153">
        <v>193.85</v>
      </c>
      <c r="F14" s="3153">
        <f t="shared" si="0"/>
        <v>673.7</v>
      </c>
      <c r="G14" s="3153">
        <f t="shared" si="5"/>
        <v>34756</v>
      </c>
      <c r="I14" s="3154">
        <v>12</v>
      </c>
      <c r="J14" s="3155" t="s">
        <v>3493</v>
      </c>
      <c r="K14" s="3155">
        <v>104</v>
      </c>
      <c r="L14" s="3155">
        <v>249.79</v>
      </c>
      <c r="M14" s="3153">
        <f t="shared" si="1"/>
        <v>938.8</v>
      </c>
      <c r="N14" s="3153">
        <f t="shared" si="6"/>
        <v>37585</v>
      </c>
      <c r="P14" s="3152">
        <v>12</v>
      </c>
      <c r="Q14" s="3153" t="s">
        <v>3495</v>
      </c>
      <c r="R14" s="3153">
        <v>1</v>
      </c>
      <c r="S14" s="3153">
        <v>102</v>
      </c>
      <c r="T14" s="3153">
        <v>303.64999999999998</v>
      </c>
      <c r="U14" s="3153">
        <f t="shared" si="2"/>
        <v>1096.5999999999999</v>
      </c>
      <c r="V14" s="3153">
        <f t="shared" si="7"/>
        <v>36115</v>
      </c>
      <c r="X14" s="3154">
        <v>12</v>
      </c>
      <c r="Y14" s="3155" t="s">
        <v>3493</v>
      </c>
      <c r="Z14" s="3153" t="s">
        <v>43</v>
      </c>
      <c r="AA14" s="3155">
        <v>-104</v>
      </c>
      <c r="AB14" s="3155">
        <v>96.52</v>
      </c>
      <c r="AC14" s="3153">
        <f t="shared" si="3"/>
        <v>13.6</v>
      </c>
      <c r="AD14" s="3153">
        <f t="shared" si="8"/>
        <v>1406</v>
      </c>
      <c r="AF14" s="3152">
        <v>12</v>
      </c>
      <c r="AG14" s="3156" t="s">
        <v>3491</v>
      </c>
      <c r="AH14" s="3156" t="s">
        <v>3392</v>
      </c>
      <c r="AI14" s="3153">
        <v>1012</v>
      </c>
      <c r="AJ14" s="3153">
        <v>47.92</v>
      </c>
      <c r="AK14" s="3153">
        <f t="shared" si="4"/>
        <v>6.39</v>
      </c>
      <c r="AL14" s="3153">
        <f t="shared" si="9"/>
        <v>1333</v>
      </c>
    </row>
    <row r="15" spans="1:38" ht="14.25" thickBot="1">
      <c r="A15" s="3152">
        <v>13</v>
      </c>
      <c r="B15" s="3153" t="s">
        <v>3494</v>
      </c>
      <c r="C15" s="3153">
        <v>1</v>
      </c>
      <c r="D15" s="3153">
        <v>302</v>
      </c>
      <c r="E15" s="3153">
        <v>177.61</v>
      </c>
      <c r="F15" s="3153">
        <f t="shared" si="0"/>
        <v>617.29999999999995</v>
      </c>
      <c r="G15" s="3153">
        <f t="shared" si="5"/>
        <v>34756</v>
      </c>
      <c r="I15" s="3154">
        <v>13</v>
      </c>
      <c r="J15" s="3155" t="s">
        <v>3493</v>
      </c>
      <c r="K15" s="3155">
        <v>105</v>
      </c>
      <c r="L15" s="3155">
        <v>249.79</v>
      </c>
      <c r="M15" s="3153">
        <f t="shared" si="1"/>
        <v>938.8</v>
      </c>
      <c r="N15" s="3153">
        <f t="shared" si="6"/>
        <v>37585</v>
      </c>
      <c r="P15" s="3152">
        <v>13</v>
      </c>
      <c r="Q15" s="3153" t="s">
        <v>3495</v>
      </c>
      <c r="R15" s="3153">
        <v>2</v>
      </c>
      <c r="S15" s="3153">
        <v>101</v>
      </c>
      <c r="T15" s="3153">
        <v>274.95999999999998</v>
      </c>
      <c r="U15" s="3153">
        <f t="shared" si="2"/>
        <v>993</v>
      </c>
      <c r="V15" s="3153">
        <f t="shared" si="7"/>
        <v>36115</v>
      </c>
      <c r="X15" s="3154">
        <v>13</v>
      </c>
      <c r="Y15" s="3155" t="s">
        <v>3493</v>
      </c>
      <c r="Z15" s="3153" t="s">
        <v>43</v>
      </c>
      <c r="AA15" s="3155">
        <v>-105</v>
      </c>
      <c r="AB15" s="3155">
        <v>94.79</v>
      </c>
      <c r="AC15" s="3153">
        <f t="shared" si="3"/>
        <v>13.3</v>
      </c>
      <c r="AD15" s="3153">
        <f t="shared" si="8"/>
        <v>1406</v>
      </c>
      <c r="AF15" s="3152">
        <v>13</v>
      </c>
      <c r="AG15" s="3156" t="s">
        <v>3491</v>
      </c>
      <c r="AH15" s="3156" t="s">
        <v>3392</v>
      </c>
      <c r="AI15" s="3153">
        <v>1013</v>
      </c>
      <c r="AJ15" s="3153">
        <v>47.92</v>
      </c>
      <c r="AK15" s="3153">
        <f t="shared" si="4"/>
        <v>6.39</v>
      </c>
      <c r="AL15" s="3153">
        <f t="shared" si="9"/>
        <v>1333</v>
      </c>
    </row>
    <row r="16" spans="1:38" ht="14.25" thickBot="1">
      <c r="A16" s="3152">
        <v>14</v>
      </c>
      <c r="B16" s="3153" t="s">
        <v>3494</v>
      </c>
      <c r="C16" s="3153">
        <v>1</v>
      </c>
      <c r="D16" s="3153">
        <v>501</v>
      </c>
      <c r="E16" s="3153">
        <v>178.3</v>
      </c>
      <c r="F16" s="3153">
        <f t="shared" si="0"/>
        <v>619.70000000000005</v>
      </c>
      <c r="G16" s="3153">
        <f t="shared" si="5"/>
        <v>34756</v>
      </c>
      <c r="I16" s="3154">
        <v>14</v>
      </c>
      <c r="J16" s="3155" t="s">
        <v>3493</v>
      </c>
      <c r="K16" s="3155">
        <v>106</v>
      </c>
      <c r="L16" s="3155">
        <v>249.79</v>
      </c>
      <c r="M16" s="3153">
        <f t="shared" si="1"/>
        <v>938.8</v>
      </c>
      <c r="N16" s="3153">
        <f t="shared" si="6"/>
        <v>37585</v>
      </c>
      <c r="P16" s="3152">
        <v>14</v>
      </c>
      <c r="Q16" s="3153" t="s">
        <v>3495</v>
      </c>
      <c r="R16" s="3153">
        <v>2</v>
      </c>
      <c r="S16" s="3153">
        <v>102</v>
      </c>
      <c r="T16" s="3153">
        <v>274.95999999999998</v>
      </c>
      <c r="U16" s="3153">
        <f t="shared" si="2"/>
        <v>993</v>
      </c>
      <c r="V16" s="3153">
        <f t="shared" si="7"/>
        <v>36115</v>
      </c>
      <c r="X16" s="3154">
        <v>14</v>
      </c>
      <c r="Y16" s="3155" t="s">
        <v>3493</v>
      </c>
      <c r="Z16" s="3153" t="s">
        <v>43</v>
      </c>
      <c r="AA16" s="3155">
        <v>-106</v>
      </c>
      <c r="AB16" s="3155">
        <v>95.66</v>
      </c>
      <c r="AC16" s="3153">
        <f t="shared" si="3"/>
        <v>13.4</v>
      </c>
      <c r="AD16" s="3153">
        <f t="shared" si="8"/>
        <v>1406</v>
      </c>
      <c r="AF16" s="3152">
        <v>14</v>
      </c>
      <c r="AG16" s="3156" t="s">
        <v>3491</v>
      </c>
      <c r="AH16" s="3156" t="s">
        <v>3392</v>
      </c>
      <c r="AI16" s="3153">
        <v>1014</v>
      </c>
      <c r="AJ16" s="3153">
        <v>47.92</v>
      </c>
      <c r="AK16" s="3153">
        <f t="shared" si="4"/>
        <v>6.39</v>
      </c>
      <c r="AL16" s="3153">
        <f t="shared" si="9"/>
        <v>1333</v>
      </c>
    </row>
    <row r="17" spans="1:38" ht="14.25" thickBot="1">
      <c r="A17" s="3152">
        <v>15</v>
      </c>
      <c r="B17" s="3153" t="s">
        <v>3494</v>
      </c>
      <c r="C17" s="3153">
        <v>2</v>
      </c>
      <c r="D17" s="3153">
        <v>101</v>
      </c>
      <c r="E17" s="3153">
        <v>177.61</v>
      </c>
      <c r="F17" s="3153">
        <f t="shared" si="0"/>
        <v>617.29999999999995</v>
      </c>
      <c r="G17" s="3153">
        <f t="shared" si="5"/>
        <v>34756</v>
      </c>
      <c r="I17" s="3154">
        <v>15</v>
      </c>
      <c r="J17" s="3155" t="s">
        <v>3493</v>
      </c>
      <c r="K17" s="3155">
        <v>107</v>
      </c>
      <c r="L17" s="3155">
        <v>251.13</v>
      </c>
      <c r="M17" s="3153">
        <f t="shared" si="1"/>
        <v>943.9</v>
      </c>
      <c r="N17" s="3153">
        <f t="shared" si="6"/>
        <v>37585</v>
      </c>
      <c r="P17" s="3152">
        <v>15</v>
      </c>
      <c r="Q17" s="3153" t="s">
        <v>3495</v>
      </c>
      <c r="R17" s="3153">
        <v>3</v>
      </c>
      <c r="S17" s="3153">
        <v>101</v>
      </c>
      <c r="T17" s="3153">
        <v>335.71</v>
      </c>
      <c r="U17" s="3153">
        <f t="shared" si="2"/>
        <v>1212.4000000000001</v>
      </c>
      <c r="V17" s="3153">
        <f t="shared" si="7"/>
        <v>36115</v>
      </c>
      <c r="X17" s="3154">
        <v>15</v>
      </c>
      <c r="Y17" s="3155" t="s">
        <v>3493</v>
      </c>
      <c r="Z17" s="3153" t="s">
        <v>43</v>
      </c>
      <c r="AA17" s="3155">
        <v>-107</v>
      </c>
      <c r="AB17" s="3155">
        <v>94.72</v>
      </c>
      <c r="AC17" s="3153">
        <f t="shared" si="3"/>
        <v>13.3</v>
      </c>
      <c r="AD17" s="3153">
        <f t="shared" si="8"/>
        <v>1406</v>
      </c>
      <c r="AF17" s="3152">
        <v>15</v>
      </c>
      <c r="AG17" s="3156" t="s">
        <v>3491</v>
      </c>
      <c r="AH17" s="3156" t="s">
        <v>3392</v>
      </c>
      <c r="AI17" s="3153">
        <v>1015</v>
      </c>
      <c r="AJ17" s="3153">
        <v>44.93</v>
      </c>
      <c r="AK17" s="3153">
        <f t="shared" si="4"/>
        <v>5.99</v>
      </c>
      <c r="AL17" s="3153">
        <f t="shared" si="9"/>
        <v>1333</v>
      </c>
    </row>
    <row r="18" spans="1:38" ht="14.25" thickBot="1">
      <c r="A18" s="3152">
        <v>16</v>
      </c>
      <c r="B18" s="3153" t="s">
        <v>3494</v>
      </c>
      <c r="C18" s="3153">
        <v>2</v>
      </c>
      <c r="D18" s="3153">
        <v>102</v>
      </c>
      <c r="E18" s="3153">
        <v>177.61</v>
      </c>
      <c r="F18" s="3153">
        <f t="shared" si="0"/>
        <v>617.29999999999995</v>
      </c>
      <c r="G18" s="3153">
        <f t="shared" si="5"/>
        <v>34756</v>
      </c>
      <c r="I18" s="3154">
        <v>16</v>
      </c>
      <c r="J18" s="3155" t="s">
        <v>3452</v>
      </c>
      <c r="K18" s="3155">
        <v>101</v>
      </c>
      <c r="L18" s="3155">
        <v>254.27</v>
      </c>
      <c r="M18" s="3153">
        <f t="shared" si="1"/>
        <v>955.7</v>
      </c>
      <c r="N18" s="3153">
        <f t="shared" si="6"/>
        <v>37585</v>
      </c>
      <c r="P18" s="3152">
        <v>16</v>
      </c>
      <c r="Q18" s="3153" t="s">
        <v>3495</v>
      </c>
      <c r="R18" s="3153">
        <v>3</v>
      </c>
      <c r="S18" s="3153">
        <v>102</v>
      </c>
      <c r="T18" s="3153">
        <v>335.71</v>
      </c>
      <c r="U18" s="3153">
        <f t="shared" si="2"/>
        <v>1212.4000000000001</v>
      </c>
      <c r="V18" s="3153">
        <f t="shared" si="7"/>
        <v>36115</v>
      </c>
      <c r="X18" s="3154">
        <v>16</v>
      </c>
      <c r="Y18" s="3155" t="s">
        <v>3452</v>
      </c>
      <c r="Z18" s="3153" t="s">
        <v>43</v>
      </c>
      <c r="AA18" s="3155">
        <v>-101</v>
      </c>
      <c r="AB18" s="3155">
        <v>92.07</v>
      </c>
      <c r="AC18" s="3153">
        <f t="shared" si="3"/>
        <v>12.9</v>
      </c>
      <c r="AD18" s="3153">
        <f t="shared" si="8"/>
        <v>1406</v>
      </c>
      <c r="AF18" s="3152">
        <v>16</v>
      </c>
      <c r="AG18" s="3156" t="s">
        <v>3491</v>
      </c>
      <c r="AH18" s="3156" t="s">
        <v>3392</v>
      </c>
      <c r="AI18" s="3153">
        <v>1016</v>
      </c>
      <c r="AJ18" s="3153">
        <v>47.92</v>
      </c>
      <c r="AK18" s="3153">
        <f t="shared" si="4"/>
        <v>6.39</v>
      </c>
      <c r="AL18" s="3153">
        <f t="shared" si="9"/>
        <v>1333</v>
      </c>
    </row>
    <row r="19" spans="1:38" ht="14.25" thickBot="1">
      <c r="A19" s="3152">
        <v>17</v>
      </c>
      <c r="B19" s="3153" t="s">
        <v>3494</v>
      </c>
      <c r="C19" s="3153">
        <v>2</v>
      </c>
      <c r="D19" s="3153">
        <v>301</v>
      </c>
      <c r="E19" s="3153">
        <v>177.61</v>
      </c>
      <c r="F19" s="3153">
        <f t="shared" si="0"/>
        <v>617.29999999999995</v>
      </c>
      <c r="G19" s="3153">
        <f t="shared" si="5"/>
        <v>34756</v>
      </c>
      <c r="I19" s="3154">
        <v>17</v>
      </c>
      <c r="J19" s="3155" t="s">
        <v>3452</v>
      </c>
      <c r="K19" s="3155">
        <v>102</v>
      </c>
      <c r="L19" s="3155">
        <v>253.17</v>
      </c>
      <c r="M19" s="3153">
        <f t="shared" si="1"/>
        <v>951.5</v>
      </c>
      <c r="N19" s="3153">
        <f t="shared" si="6"/>
        <v>37585</v>
      </c>
      <c r="P19" s="3152">
        <v>17</v>
      </c>
      <c r="Q19" s="3153" t="s">
        <v>3496</v>
      </c>
      <c r="R19" s="3153">
        <v>1</v>
      </c>
      <c r="S19" s="3153">
        <v>101</v>
      </c>
      <c r="T19" s="3153">
        <v>303.64999999999998</v>
      </c>
      <c r="U19" s="3153">
        <f t="shared" si="2"/>
        <v>1096.5999999999999</v>
      </c>
      <c r="V19" s="3153">
        <f t="shared" si="7"/>
        <v>36115</v>
      </c>
      <c r="X19" s="3154">
        <v>17</v>
      </c>
      <c r="Y19" s="3155" t="s">
        <v>3452</v>
      </c>
      <c r="Z19" s="3153" t="s">
        <v>43</v>
      </c>
      <c r="AA19" s="3155">
        <v>-102</v>
      </c>
      <c r="AB19" s="3155">
        <v>92.36</v>
      </c>
      <c r="AC19" s="3153">
        <f t="shared" si="3"/>
        <v>13</v>
      </c>
      <c r="AD19" s="3153">
        <f t="shared" si="8"/>
        <v>1406</v>
      </c>
      <c r="AF19" s="3152">
        <v>17</v>
      </c>
      <c r="AG19" s="3156" t="s">
        <v>3491</v>
      </c>
      <c r="AH19" s="3156" t="s">
        <v>3392</v>
      </c>
      <c r="AI19" s="3153">
        <v>1017</v>
      </c>
      <c r="AJ19" s="3153">
        <v>47.92</v>
      </c>
      <c r="AK19" s="3153">
        <f t="shared" si="4"/>
        <v>6.39</v>
      </c>
      <c r="AL19" s="3153">
        <f t="shared" si="9"/>
        <v>1333</v>
      </c>
    </row>
    <row r="20" spans="1:38" ht="14.25" thickBot="1">
      <c r="A20" s="3152">
        <v>18</v>
      </c>
      <c r="B20" s="3153" t="s">
        <v>3494</v>
      </c>
      <c r="C20" s="3153">
        <v>2</v>
      </c>
      <c r="D20" s="3153">
        <v>302</v>
      </c>
      <c r="E20" s="3153">
        <v>177.61</v>
      </c>
      <c r="F20" s="3153">
        <f t="shared" si="0"/>
        <v>617.29999999999995</v>
      </c>
      <c r="G20" s="3153">
        <f t="shared" si="5"/>
        <v>34756</v>
      </c>
      <c r="I20" s="3154">
        <v>18</v>
      </c>
      <c r="J20" s="3155" t="s">
        <v>3452</v>
      </c>
      <c r="K20" s="3155">
        <v>103</v>
      </c>
      <c r="L20" s="3155">
        <v>253.28</v>
      </c>
      <c r="M20" s="3153">
        <f t="shared" si="1"/>
        <v>952</v>
      </c>
      <c r="N20" s="3153">
        <f t="shared" si="6"/>
        <v>37585</v>
      </c>
      <c r="P20" s="3152">
        <v>18</v>
      </c>
      <c r="Q20" s="3153" t="s">
        <v>3496</v>
      </c>
      <c r="R20" s="3153">
        <v>1</v>
      </c>
      <c r="S20" s="3153">
        <v>102</v>
      </c>
      <c r="T20" s="3153">
        <v>303.64999999999998</v>
      </c>
      <c r="U20" s="3153">
        <f t="shared" si="2"/>
        <v>1096.5999999999999</v>
      </c>
      <c r="V20" s="3153">
        <f t="shared" si="7"/>
        <v>36115</v>
      </c>
      <c r="X20" s="3154">
        <v>18</v>
      </c>
      <c r="Y20" s="3155" t="s">
        <v>3452</v>
      </c>
      <c r="Z20" s="3153" t="s">
        <v>43</v>
      </c>
      <c r="AA20" s="3155">
        <v>-103</v>
      </c>
      <c r="AB20" s="3155">
        <v>97.85</v>
      </c>
      <c r="AC20" s="3153">
        <f t="shared" si="3"/>
        <v>13.8</v>
      </c>
      <c r="AD20" s="3153">
        <f t="shared" si="8"/>
        <v>1406</v>
      </c>
      <c r="AF20" s="3152">
        <v>18</v>
      </c>
      <c r="AG20" s="3156" t="s">
        <v>3491</v>
      </c>
      <c r="AH20" s="3156" t="s">
        <v>3392</v>
      </c>
      <c r="AI20" s="3153">
        <v>1018</v>
      </c>
      <c r="AJ20" s="3153">
        <v>47.92</v>
      </c>
      <c r="AK20" s="3153">
        <f t="shared" si="4"/>
        <v>6.39</v>
      </c>
      <c r="AL20" s="3153">
        <f t="shared" si="9"/>
        <v>1333</v>
      </c>
    </row>
    <row r="21" spans="1:38" ht="14.25" thickBot="1">
      <c r="A21" s="3152">
        <v>19</v>
      </c>
      <c r="B21" s="3153" t="s">
        <v>3494</v>
      </c>
      <c r="C21" s="3153">
        <v>2</v>
      </c>
      <c r="D21" s="3153">
        <v>501</v>
      </c>
      <c r="E21" s="3153">
        <v>170.37</v>
      </c>
      <c r="F21" s="3153">
        <f t="shared" si="0"/>
        <v>592.1</v>
      </c>
      <c r="G21" s="3153">
        <f t="shared" si="5"/>
        <v>34756</v>
      </c>
      <c r="I21" s="3154">
        <v>19</v>
      </c>
      <c r="J21" s="3155" t="s">
        <v>3452</v>
      </c>
      <c r="K21" s="3155">
        <v>104</v>
      </c>
      <c r="L21" s="3155">
        <v>253.28</v>
      </c>
      <c r="M21" s="3153">
        <f t="shared" si="1"/>
        <v>952</v>
      </c>
      <c r="N21" s="3153">
        <f t="shared" si="6"/>
        <v>37585</v>
      </c>
      <c r="P21" s="3152">
        <v>19</v>
      </c>
      <c r="Q21" s="3153" t="s">
        <v>3496</v>
      </c>
      <c r="R21" s="3153">
        <v>2</v>
      </c>
      <c r="S21" s="3153">
        <v>101</v>
      </c>
      <c r="T21" s="3153">
        <v>274.95999999999998</v>
      </c>
      <c r="U21" s="3153">
        <f t="shared" si="2"/>
        <v>993</v>
      </c>
      <c r="V21" s="3153">
        <f t="shared" si="7"/>
        <v>36115</v>
      </c>
      <c r="X21" s="3154">
        <v>19</v>
      </c>
      <c r="Y21" s="3155" t="s">
        <v>3452</v>
      </c>
      <c r="Z21" s="3153" t="s">
        <v>43</v>
      </c>
      <c r="AA21" s="3155">
        <v>-104</v>
      </c>
      <c r="AB21" s="3155">
        <v>97.71</v>
      </c>
      <c r="AC21" s="3153">
        <f t="shared" si="3"/>
        <v>13.7</v>
      </c>
      <c r="AD21" s="3153">
        <f t="shared" si="8"/>
        <v>1406</v>
      </c>
      <c r="AF21" s="3152">
        <v>19</v>
      </c>
      <c r="AG21" s="3156" t="s">
        <v>3491</v>
      </c>
      <c r="AH21" s="3156" t="s">
        <v>3392</v>
      </c>
      <c r="AI21" s="3153">
        <v>1019</v>
      </c>
      <c r="AJ21" s="3153">
        <v>47.92</v>
      </c>
      <c r="AK21" s="3153">
        <f t="shared" si="4"/>
        <v>6.39</v>
      </c>
      <c r="AL21" s="3153">
        <f t="shared" si="9"/>
        <v>1333</v>
      </c>
    </row>
    <row r="22" spans="1:38" ht="14.25" thickBot="1">
      <c r="A22" s="3152">
        <v>20</v>
      </c>
      <c r="B22" s="3153" t="s">
        <v>3494</v>
      </c>
      <c r="C22" s="3153">
        <v>3</v>
      </c>
      <c r="D22" s="3153">
        <v>101</v>
      </c>
      <c r="E22" s="3153">
        <v>177.61</v>
      </c>
      <c r="F22" s="3153">
        <f t="shared" si="0"/>
        <v>617.29999999999995</v>
      </c>
      <c r="G22" s="3153">
        <f t="shared" si="5"/>
        <v>34756</v>
      </c>
      <c r="I22" s="3154">
        <v>20</v>
      </c>
      <c r="J22" s="3155" t="s">
        <v>3452</v>
      </c>
      <c r="K22" s="3155">
        <v>105</v>
      </c>
      <c r="L22" s="3155">
        <v>253.28</v>
      </c>
      <c r="M22" s="3153">
        <f t="shared" si="1"/>
        <v>952</v>
      </c>
      <c r="N22" s="3153">
        <f t="shared" si="6"/>
        <v>37585</v>
      </c>
      <c r="P22" s="3152">
        <v>20</v>
      </c>
      <c r="Q22" s="3153" t="s">
        <v>3496</v>
      </c>
      <c r="R22" s="3153">
        <v>2</v>
      </c>
      <c r="S22" s="3153">
        <v>102</v>
      </c>
      <c r="T22" s="3153">
        <v>274.95999999999998</v>
      </c>
      <c r="U22" s="3153">
        <f t="shared" si="2"/>
        <v>993</v>
      </c>
      <c r="V22" s="3153">
        <f t="shared" si="7"/>
        <v>36115</v>
      </c>
      <c r="X22" s="3154">
        <v>20</v>
      </c>
      <c r="Y22" s="3155" t="s">
        <v>3452</v>
      </c>
      <c r="Z22" s="3153" t="s">
        <v>43</v>
      </c>
      <c r="AA22" s="3155">
        <v>-105</v>
      </c>
      <c r="AB22" s="3155">
        <v>97.77</v>
      </c>
      <c r="AC22" s="3153">
        <f t="shared" si="3"/>
        <v>13.7</v>
      </c>
      <c r="AD22" s="3153">
        <f t="shared" si="8"/>
        <v>1406</v>
      </c>
      <c r="AF22" s="3152">
        <v>20</v>
      </c>
      <c r="AG22" s="3156" t="s">
        <v>3491</v>
      </c>
      <c r="AH22" s="3156" t="s">
        <v>3392</v>
      </c>
      <c r="AI22" s="3153">
        <v>1020</v>
      </c>
      <c r="AJ22" s="3153">
        <v>44.93</v>
      </c>
      <c r="AK22" s="3153">
        <f t="shared" si="4"/>
        <v>5.99</v>
      </c>
      <c r="AL22" s="3153">
        <f t="shared" si="9"/>
        <v>1333</v>
      </c>
    </row>
    <row r="23" spans="1:38" ht="14.25" thickBot="1">
      <c r="A23" s="3152">
        <v>21</v>
      </c>
      <c r="B23" s="3153" t="s">
        <v>3494</v>
      </c>
      <c r="C23" s="3153">
        <v>3</v>
      </c>
      <c r="D23" s="3153">
        <v>102</v>
      </c>
      <c r="E23" s="3153">
        <v>177.61</v>
      </c>
      <c r="F23" s="3153">
        <f t="shared" si="0"/>
        <v>617.29999999999995</v>
      </c>
      <c r="G23" s="3153">
        <f t="shared" si="5"/>
        <v>34756</v>
      </c>
      <c r="I23" s="3154">
        <v>21</v>
      </c>
      <c r="J23" s="3155" t="s">
        <v>3452</v>
      </c>
      <c r="K23" s="3155">
        <v>106</v>
      </c>
      <c r="L23" s="3155">
        <v>253.28</v>
      </c>
      <c r="M23" s="3153">
        <f t="shared" si="1"/>
        <v>952</v>
      </c>
      <c r="N23" s="3153">
        <f t="shared" si="6"/>
        <v>37585</v>
      </c>
      <c r="P23" s="3152">
        <v>21</v>
      </c>
      <c r="Q23" s="3153" t="s">
        <v>3496</v>
      </c>
      <c r="R23" s="3153">
        <v>3</v>
      </c>
      <c r="S23" s="3153">
        <v>101</v>
      </c>
      <c r="T23" s="3153">
        <v>335.71</v>
      </c>
      <c r="U23" s="3153">
        <f t="shared" si="2"/>
        <v>1212.4000000000001</v>
      </c>
      <c r="V23" s="3153">
        <f t="shared" si="7"/>
        <v>36115</v>
      </c>
      <c r="X23" s="3154">
        <v>21</v>
      </c>
      <c r="Y23" s="3155" t="s">
        <v>3452</v>
      </c>
      <c r="Z23" s="3153" t="s">
        <v>43</v>
      </c>
      <c r="AA23" s="3155">
        <v>-106</v>
      </c>
      <c r="AB23" s="3155">
        <v>97.78</v>
      </c>
      <c r="AC23" s="3153">
        <f t="shared" si="3"/>
        <v>13.7</v>
      </c>
      <c r="AD23" s="3153">
        <f t="shared" si="8"/>
        <v>1406</v>
      </c>
      <c r="AF23" s="3152">
        <v>21</v>
      </c>
      <c r="AG23" s="3156" t="s">
        <v>3491</v>
      </c>
      <c r="AH23" s="3156" t="s">
        <v>3392</v>
      </c>
      <c r="AI23" s="3153">
        <v>1021</v>
      </c>
      <c r="AJ23" s="3153">
        <v>44.93</v>
      </c>
      <c r="AK23" s="3153">
        <f t="shared" si="4"/>
        <v>5.99</v>
      </c>
      <c r="AL23" s="3153">
        <f t="shared" si="9"/>
        <v>1333</v>
      </c>
    </row>
    <row r="24" spans="1:38" ht="14.25" thickBot="1">
      <c r="A24" s="3152">
        <v>22</v>
      </c>
      <c r="B24" s="3153" t="s">
        <v>3494</v>
      </c>
      <c r="C24" s="3153">
        <v>3</v>
      </c>
      <c r="D24" s="3153">
        <v>301</v>
      </c>
      <c r="E24" s="3153">
        <v>177.61</v>
      </c>
      <c r="F24" s="3153">
        <f t="shared" si="0"/>
        <v>617.29999999999995</v>
      </c>
      <c r="G24" s="3153">
        <f t="shared" si="5"/>
        <v>34756</v>
      </c>
      <c r="I24" s="3154">
        <v>22</v>
      </c>
      <c r="J24" s="3155" t="s">
        <v>3452</v>
      </c>
      <c r="K24" s="3155">
        <v>107</v>
      </c>
      <c r="L24" s="3155">
        <v>253.94</v>
      </c>
      <c r="M24" s="3153">
        <f t="shared" si="1"/>
        <v>954.4</v>
      </c>
      <c r="N24" s="3153">
        <f t="shared" si="6"/>
        <v>37585</v>
      </c>
      <c r="P24" s="3152">
        <v>22</v>
      </c>
      <c r="Q24" s="3153" t="s">
        <v>3496</v>
      </c>
      <c r="R24" s="3153">
        <v>3</v>
      </c>
      <c r="S24" s="3153">
        <v>102</v>
      </c>
      <c r="T24" s="3153">
        <v>335.71</v>
      </c>
      <c r="U24" s="3153">
        <f t="shared" si="2"/>
        <v>1212.4000000000001</v>
      </c>
      <c r="V24" s="3153">
        <f t="shared" si="7"/>
        <v>36115</v>
      </c>
      <c r="X24" s="3154">
        <v>22</v>
      </c>
      <c r="Y24" s="3155" t="s">
        <v>3452</v>
      </c>
      <c r="Z24" s="3153" t="s">
        <v>43</v>
      </c>
      <c r="AA24" s="3155">
        <v>-107</v>
      </c>
      <c r="AB24" s="3155">
        <v>97.38</v>
      </c>
      <c r="AC24" s="3153">
        <f t="shared" si="3"/>
        <v>13.7</v>
      </c>
      <c r="AD24" s="3153">
        <f t="shared" si="8"/>
        <v>1406</v>
      </c>
      <c r="AF24" s="3152">
        <v>22</v>
      </c>
      <c r="AG24" s="3156" t="s">
        <v>3491</v>
      </c>
      <c r="AH24" s="3156" t="s">
        <v>3392</v>
      </c>
      <c r="AI24" s="3153">
        <v>1022</v>
      </c>
      <c r="AJ24" s="3153">
        <v>47.92</v>
      </c>
      <c r="AK24" s="3153">
        <f t="shared" si="4"/>
        <v>6.39</v>
      </c>
      <c r="AL24" s="3153">
        <f t="shared" si="9"/>
        <v>1333</v>
      </c>
    </row>
    <row r="25" spans="1:38" ht="14.25" thickBot="1">
      <c r="A25" s="3152">
        <v>23</v>
      </c>
      <c r="B25" s="3153" t="s">
        <v>3494</v>
      </c>
      <c r="C25" s="3153">
        <v>3</v>
      </c>
      <c r="D25" s="3153">
        <v>302</v>
      </c>
      <c r="E25" s="3153">
        <v>177.61</v>
      </c>
      <c r="F25" s="3153">
        <f t="shared" si="0"/>
        <v>617.29999999999995</v>
      </c>
      <c r="G25" s="3153">
        <f t="shared" si="5"/>
        <v>34756</v>
      </c>
      <c r="I25" s="3154">
        <v>23</v>
      </c>
      <c r="J25" s="3155" t="s">
        <v>3453</v>
      </c>
      <c r="K25" s="3155">
        <v>101</v>
      </c>
      <c r="L25" s="3155">
        <v>254.27</v>
      </c>
      <c r="M25" s="3153">
        <f t="shared" si="1"/>
        <v>955.7</v>
      </c>
      <c r="N25" s="3153">
        <f t="shared" si="6"/>
        <v>37585</v>
      </c>
      <c r="P25" s="3152">
        <v>23</v>
      </c>
      <c r="Q25" s="3153" t="s">
        <v>3497</v>
      </c>
      <c r="R25" s="3153">
        <v>1</v>
      </c>
      <c r="S25" s="3153">
        <v>101</v>
      </c>
      <c r="T25" s="3153">
        <v>303.67</v>
      </c>
      <c r="U25" s="3153">
        <f t="shared" si="2"/>
        <v>1096.7</v>
      </c>
      <c r="V25" s="3153">
        <f t="shared" si="7"/>
        <v>36115</v>
      </c>
      <c r="X25" s="3154">
        <v>23</v>
      </c>
      <c r="Y25" s="3155" t="s">
        <v>3453</v>
      </c>
      <c r="Z25" s="3153" t="s">
        <v>43</v>
      </c>
      <c r="AA25" s="3155">
        <v>-101</v>
      </c>
      <c r="AB25" s="3155">
        <v>95.57</v>
      </c>
      <c r="AC25" s="3153">
        <f t="shared" si="3"/>
        <v>13.4</v>
      </c>
      <c r="AD25" s="3153">
        <f t="shared" si="8"/>
        <v>1406</v>
      </c>
      <c r="AF25" s="3152">
        <v>23</v>
      </c>
      <c r="AG25" s="3156" t="s">
        <v>3491</v>
      </c>
      <c r="AH25" s="3156" t="s">
        <v>3392</v>
      </c>
      <c r="AI25" s="3153">
        <v>1023</v>
      </c>
      <c r="AJ25" s="3153">
        <v>47.92</v>
      </c>
      <c r="AK25" s="3153">
        <f t="shared" si="4"/>
        <v>6.39</v>
      </c>
      <c r="AL25" s="3153">
        <f t="shared" si="9"/>
        <v>1333</v>
      </c>
    </row>
    <row r="26" spans="1:38" ht="14.25" thickBot="1">
      <c r="A26" s="3152">
        <v>24</v>
      </c>
      <c r="B26" s="3153" t="s">
        <v>3494</v>
      </c>
      <c r="C26" s="3153">
        <v>3</v>
      </c>
      <c r="D26" s="3153">
        <v>501</v>
      </c>
      <c r="E26" s="3153">
        <v>170.37</v>
      </c>
      <c r="F26" s="3153">
        <f t="shared" si="0"/>
        <v>592.1</v>
      </c>
      <c r="G26" s="3153">
        <f t="shared" si="5"/>
        <v>34756</v>
      </c>
      <c r="I26" s="3154">
        <v>24</v>
      </c>
      <c r="J26" s="3155" t="s">
        <v>3453</v>
      </c>
      <c r="K26" s="3155">
        <v>102</v>
      </c>
      <c r="L26" s="3155">
        <v>253.17</v>
      </c>
      <c r="M26" s="3153">
        <f t="shared" si="1"/>
        <v>951.5</v>
      </c>
      <c r="N26" s="3153">
        <f t="shared" si="6"/>
        <v>37585</v>
      </c>
      <c r="P26" s="3152">
        <v>24</v>
      </c>
      <c r="Q26" s="3153" t="s">
        <v>3497</v>
      </c>
      <c r="R26" s="3153">
        <v>1</v>
      </c>
      <c r="S26" s="3153">
        <v>102</v>
      </c>
      <c r="T26" s="3153">
        <v>303.67</v>
      </c>
      <c r="U26" s="3153">
        <f t="shared" si="2"/>
        <v>1096.7</v>
      </c>
      <c r="V26" s="3153">
        <f t="shared" si="7"/>
        <v>36115</v>
      </c>
      <c r="X26" s="3154">
        <v>24</v>
      </c>
      <c r="Y26" s="3155" t="s">
        <v>3453</v>
      </c>
      <c r="Z26" s="3153" t="s">
        <v>43</v>
      </c>
      <c r="AA26" s="3155">
        <v>-102</v>
      </c>
      <c r="AB26" s="3155">
        <v>95.76</v>
      </c>
      <c r="AC26" s="3153">
        <f t="shared" si="3"/>
        <v>13.5</v>
      </c>
      <c r="AD26" s="3153">
        <f t="shared" si="8"/>
        <v>1406</v>
      </c>
      <c r="AF26" s="3152">
        <v>24</v>
      </c>
      <c r="AG26" s="3156" t="s">
        <v>3491</v>
      </c>
      <c r="AH26" s="3156" t="s">
        <v>3392</v>
      </c>
      <c r="AI26" s="3153">
        <v>1024</v>
      </c>
      <c r="AJ26" s="3153">
        <v>47.92</v>
      </c>
      <c r="AK26" s="3153">
        <f t="shared" si="4"/>
        <v>6.39</v>
      </c>
      <c r="AL26" s="3153">
        <f t="shared" si="9"/>
        <v>1333</v>
      </c>
    </row>
    <row r="27" spans="1:38" ht="14.25" thickBot="1">
      <c r="A27" s="3152">
        <v>25</v>
      </c>
      <c r="B27" s="3153" t="s">
        <v>3494</v>
      </c>
      <c r="C27" s="3153">
        <v>4</v>
      </c>
      <c r="D27" s="3153">
        <v>101</v>
      </c>
      <c r="E27" s="3153">
        <v>177.61</v>
      </c>
      <c r="F27" s="3153">
        <f t="shared" si="0"/>
        <v>617.29999999999995</v>
      </c>
      <c r="G27" s="3153">
        <f t="shared" si="5"/>
        <v>34756</v>
      </c>
      <c r="I27" s="3154">
        <v>25</v>
      </c>
      <c r="J27" s="3155" t="s">
        <v>3453</v>
      </c>
      <c r="K27" s="3155">
        <v>103</v>
      </c>
      <c r="L27" s="3155">
        <v>253.28</v>
      </c>
      <c r="M27" s="3153">
        <f t="shared" si="1"/>
        <v>952</v>
      </c>
      <c r="N27" s="3153">
        <f t="shared" si="6"/>
        <v>37585</v>
      </c>
      <c r="P27" s="3152">
        <v>25</v>
      </c>
      <c r="Q27" s="3153" t="s">
        <v>3497</v>
      </c>
      <c r="R27" s="3153">
        <v>2</v>
      </c>
      <c r="S27" s="3153">
        <v>101</v>
      </c>
      <c r="T27" s="3153">
        <v>335.74</v>
      </c>
      <c r="U27" s="3153">
        <f t="shared" si="2"/>
        <v>1212.5</v>
      </c>
      <c r="V27" s="3153">
        <f t="shared" si="7"/>
        <v>36115</v>
      </c>
      <c r="X27" s="3154">
        <v>25</v>
      </c>
      <c r="Y27" s="3155" t="s">
        <v>3453</v>
      </c>
      <c r="Z27" s="3153" t="s">
        <v>43</v>
      </c>
      <c r="AA27" s="3155">
        <v>-103</v>
      </c>
      <c r="AB27" s="3155">
        <v>96.36</v>
      </c>
      <c r="AC27" s="3153">
        <f t="shared" si="3"/>
        <v>13.5</v>
      </c>
      <c r="AD27" s="3153">
        <f t="shared" si="8"/>
        <v>1406</v>
      </c>
      <c r="AF27" s="3152">
        <v>25</v>
      </c>
      <c r="AG27" s="3156" t="s">
        <v>3491</v>
      </c>
      <c r="AH27" s="3156" t="s">
        <v>3392</v>
      </c>
      <c r="AI27" s="3153">
        <v>1025</v>
      </c>
      <c r="AJ27" s="3153">
        <v>47.92</v>
      </c>
      <c r="AK27" s="3153">
        <f t="shared" si="4"/>
        <v>6.39</v>
      </c>
      <c r="AL27" s="3153">
        <f t="shared" si="9"/>
        <v>1333</v>
      </c>
    </row>
    <row r="28" spans="1:38" ht="14.25" thickBot="1">
      <c r="A28" s="3152">
        <v>26</v>
      </c>
      <c r="B28" s="3153" t="s">
        <v>3494</v>
      </c>
      <c r="C28" s="3153">
        <v>4</v>
      </c>
      <c r="D28" s="3153">
        <v>102</v>
      </c>
      <c r="E28" s="3153">
        <v>193.85</v>
      </c>
      <c r="F28" s="3153">
        <f t="shared" si="0"/>
        <v>673.7</v>
      </c>
      <c r="G28" s="3153">
        <f t="shared" si="5"/>
        <v>34756</v>
      </c>
      <c r="I28" s="3154">
        <v>26</v>
      </c>
      <c r="J28" s="3155" t="s">
        <v>3453</v>
      </c>
      <c r="K28" s="3155">
        <v>104</v>
      </c>
      <c r="L28" s="3155">
        <v>253.28</v>
      </c>
      <c r="M28" s="3153">
        <f t="shared" si="1"/>
        <v>952</v>
      </c>
      <c r="N28" s="3153">
        <f t="shared" si="6"/>
        <v>37585</v>
      </c>
      <c r="P28" s="3152">
        <v>26</v>
      </c>
      <c r="Q28" s="3153" t="s">
        <v>3497</v>
      </c>
      <c r="R28" s="3153">
        <v>2</v>
      </c>
      <c r="S28" s="3153">
        <v>102</v>
      </c>
      <c r="T28" s="3153">
        <v>335.74</v>
      </c>
      <c r="U28" s="3153">
        <f t="shared" si="2"/>
        <v>1212.5</v>
      </c>
      <c r="V28" s="3153">
        <f t="shared" si="7"/>
        <v>36115</v>
      </c>
      <c r="X28" s="3154">
        <v>26</v>
      </c>
      <c r="Y28" s="3155" t="s">
        <v>3453</v>
      </c>
      <c r="Z28" s="3153" t="s">
        <v>43</v>
      </c>
      <c r="AA28" s="3155">
        <v>-104</v>
      </c>
      <c r="AB28" s="3155">
        <v>95.73</v>
      </c>
      <c r="AC28" s="3153">
        <f t="shared" si="3"/>
        <v>13.5</v>
      </c>
      <c r="AD28" s="3153">
        <f t="shared" si="8"/>
        <v>1406</v>
      </c>
      <c r="AF28" s="3152">
        <v>26</v>
      </c>
      <c r="AG28" s="3156" t="s">
        <v>3491</v>
      </c>
      <c r="AH28" s="3156" t="s">
        <v>3392</v>
      </c>
      <c r="AI28" s="3153">
        <v>1026</v>
      </c>
      <c r="AJ28" s="3153">
        <v>47.92</v>
      </c>
      <c r="AK28" s="3153">
        <f t="shared" si="4"/>
        <v>6.39</v>
      </c>
      <c r="AL28" s="3153">
        <f t="shared" si="9"/>
        <v>1333</v>
      </c>
    </row>
    <row r="29" spans="1:38" ht="14.25" thickBot="1">
      <c r="A29" s="3152">
        <v>27</v>
      </c>
      <c r="B29" s="3153" t="s">
        <v>3494</v>
      </c>
      <c r="C29" s="3153">
        <v>4</v>
      </c>
      <c r="D29" s="3153">
        <v>301</v>
      </c>
      <c r="E29" s="3153">
        <v>177.61</v>
      </c>
      <c r="F29" s="3153">
        <f t="shared" si="0"/>
        <v>617.29999999999995</v>
      </c>
      <c r="G29" s="3153">
        <f t="shared" si="5"/>
        <v>34756</v>
      </c>
      <c r="I29" s="3154">
        <v>27</v>
      </c>
      <c r="J29" s="3155" t="s">
        <v>3453</v>
      </c>
      <c r="K29" s="3155">
        <v>105</v>
      </c>
      <c r="L29" s="3155">
        <v>253.28</v>
      </c>
      <c r="M29" s="3153">
        <f t="shared" si="1"/>
        <v>952</v>
      </c>
      <c r="N29" s="3153">
        <f t="shared" si="6"/>
        <v>37585</v>
      </c>
      <c r="P29" s="3152">
        <v>27</v>
      </c>
      <c r="Q29" s="3153" t="s">
        <v>3498</v>
      </c>
      <c r="R29" s="3153">
        <v>1</v>
      </c>
      <c r="S29" s="3153">
        <v>101</v>
      </c>
      <c r="T29" s="3153">
        <v>303.67</v>
      </c>
      <c r="U29" s="3153">
        <f t="shared" si="2"/>
        <v>1096.7</v>
      </c>
      <c r="V29" s="3153">
        <f t="shared" si="7"/>
        <v>36115</v>
      </c>
      <c r="X29" s="3154">
        <v>27</v>
      </c>
      <c r="Y29" s="3155" t="s">
        <v>3453</v>
      </c>
      <c r="Z29" s="3153" t="s">
        <v>43</v>
      </c>
      <c r="AA29" s="3155">
        <v>-105</v>
      </c>
      <c r="AB29" s="3155">
        <v>96.36</v>
      </c>
      <c r="AC29" s="3153">
        <f t="shared" si="3"/>
        <v>13.5</v>
      </c>
      <c r="AD29" s="3153">
        <f t="shared" si="8"/>
        <v>1406</v>
      </c>
      <c r="AF29" s="3152">
        <v>27</v>
      </c>
      <c r="AG29" s="3156" t="s">
        <v>3491</v>
      </c>
      <c r="AH29" s="3156" t="s">
        <v>3392</v>
      </c>
      <c r="AI29" s="3153">
        <v>1027</v>
      </c>
      <c r="AJ29" s="3153">
        <v>47.92</v>
      </c>
      <c r="AK29" s="3153">
        <f t="shared" si="4"/>
        <v>6.39</v>
      </c>
      <c r="AL29" s="3153">
        <f t="shared" si="9"/>
        <v>1333</v>
      </c>
    </row>
    <row r="30" spans="1:38" ht="14.25" thickBot="1">
      <c r="A30" s="3152">
        <v>28</v>
      </c>
      <c r="B30" s="3153" t="s">
        <v>3494</v>
      </c>
      <c r="C30" s="3153">
        <v>4</v>
      </c>
      <c r="D30" s="3153">
        <v>302</v>
      </c>
      <c r="E30" s="3153">
        <v>193.85</v>
      </c>
      <c r="F30" s="3153">
        <f t="shared" si="0"/>
        <v>673.7</v>
      </c>
      <c r="G30" s="3153">
        <f t="shared" si="5"/>
        <v>34756</v>
      </c>
      <c r="I30" s="3154">
        <v>28</v>
      </c>
      <c r="J30" s="3155" t="s">
        <v>3453</v>
      </c>
      <c r="K30" s="3155">
        <v>106</v>
      </c>
      <c r="L30" s="3155">
        <v>253.28</v>
      </c>
      <c r="M30" s="3153">
        <f t="shared" si="1"/>
        <v>952</v>
      </c>
      <c r="N30" s="3153">
        <f t="shared" si="6"/>
        <v>37585</v>
      </c>
      <c r="P30" s="3152">
        <v>28</v>
      </c>
      <c r="Q30" s="3153" t="s">
        <v>3498</v>
      </c>
      <c r="R30" s="3153">
        <v>1</v>
      </c>
      <c r="S30" s="3153">
        <v>102</v>
      </c>
      <c r="T30" s="3153">
        <v>303.67</v>
      </c>
      <c r="U30" s="3153">
        <f t="shared" si="2"/>
        <v>1096.7</v>
      </c>
      <c r="V30" s="3153">
        <f t="shared" si="7"/>
        <v>36115</v>
      </c>
      <c r="X30" s="3154">
        <v>28</v>
      </c>
      <c r="Y30" s="3155" t="s">
        <v>3453</v>
      </c>
      <c r="Z30" s="3153" t="s">
        <v>43</v>
      </c>
      <c r="AA30" s="3155">
        <v>-106</v>
      </c>
      <c r="AB30" s="3155">
        <v>95.96</v>
      </c>
      <c r="AC30" s="3153">
        <f t="shared" si="3"/>
        <v>13.5</v>
      </c>
      <c r="AD30" s="3153">
        <f t="shared" si="8"/>
        <v>1406</v>
      </c>
      <c r="AF30" s="3152">
        <v>28</v>
      </c>
      <c r="AG30" s="3156" t="s">
        <v>3491</v>
      </c>
      <c r="AH30" s="3156" t="s">
        <v>3392</v>
      </c>
      <c r="AI30" s="3153">
        <v>1028</v>
      </c>
      <c r="AJ30" s="3153">
        <v>47.92</v>
      </c>
      <c r="AK30" s="3153">
        <f t="shared" si="4"/>
        <v>6.39</v>
      </c>
      <c r="AL30" s="3153">
        <f t="shared" si="9"/>
        <v>1333</v>
      </c>
    </row>
    <row r="31" spans="1:38" ht="14.25" thickBot="1">
      <c r="A31" s="3152">
        <v>29</v>
      </c>
      <c r="B31" s="3153" t="s">
        <v>3494</v>
      </c>
      <c r="C31" s="3153">
        <v>4</v>
      </c>
      <c r="D31" s="3153">
        <v>501</v>
      </c>
      <c r="E31" s="3153">
        <v>178.3</v>
      </c>
      <c r="F31" s="3153">
        <f t="shared" si="0"/>
        <v>619.70000000000005</v>
      </c>
      <c r="G31" s="3153">
        <f t="shared" si="5"/>
        <v>34756</v>
      </c>
      <c r="I31" s="3154">
        <v>29</v>
      </c>
      <c r="J31" s="3155" t="s">
        <v>3453</v>
      </c>
      <c r="K31" s="3155">
        <v>107</v>
      </c>
      <c r="L31" s="3155">
        <v>253.94</v>
      </c>
      <c r="M31" s="3153">
        <f t="shared" si="1"/>
        <v>954.4</v>
      </c>
      <c r="N31" s="3153">
        <f t="shared" si="6"/>
        <v>37585</v>
      </c>
      <c r="P31" s="3152">
        <v>29</v>
      </c>
      <c r="Q31" s="3153" t="s">
        <v>3498</v>
      </c>
      <c r="R31" s="3153">
        <v>2</v>
      </c>
      <c r="S31" s="3153">
        <v>101</v>
      </c>
      <c r="T31" s="3153">
        <v>335.74</v>
      </c>
      <c r="U31" s="3153">
        <f t="shared" si="2"/>
        <v>1212.5</v>
      </c>
      <c r="V31" s="3153">
        <f t="shared" si="7"/>
        <v>36115</v>
      </c>
      <c r="X31" s="3154">
        <v>29</v>
      </c>
      <c r="Y31" s="3155" t="s">
        <v>3453</v>
      </c>
      <c r="Z31" s="3153" t="s">
        <v>43</v>
      </c>
      <c r="AA31" s="3155">
        <v>-107</v>
      </c>
      <c r="AB31" s="3155">
        <v>96.07</v>
      </c>
      <c r="AC31" s="3153">
        <f t="shared" si="3"/>
        <v>13.5</v>
      </c>
      <c r="AD31" s="3153">
        <f t="shared" si="8"/>
        <v>1406</v>
      </c>
      <c r="AF31" s="3152">
        <v>29</v>
      </c>
      <c r="AG31" s="3156" t="s">
        <v>3491</v>
      </c>
      <c r="AH31" s="3156" t="s">
        <v>3392</v>
      </c>
      <c r="AI31" s="3153">
        <v>1029</v>
      </c>
      <c r="AJ31" s="3153">
        <v>47.92</v>
      </c>
      <c r="AK31" s="3153">
        <f t="shared" si="4"/>
        <v>6.39</v>
      </c>
      <c r="AL31" s="3153">
        <f t="shared" si="9"/>
        <v>1333</v>
      </c>
    </row>
    <row r="32" spans="1:38" ht="14.25" thickBot="1">
      <c r="A32" s="3152">
        <v>30</v>
      </c>
      <c r="B32" s="3153" t="s">
        <v>3424</v>
      </c>
      <c r="C32" s="3153">
        <v>1</v>
      </c>
      <c r="D32" s="3153">
        <v>101</v>
      </c>
      <c r="E32" s="3153">
        <v>195.72</v>
      </c>
      <c r="F32" s="3153">
        <f t="shared" si="0"/>
        <v>680.2</v>
      </c>
      <c r="G32" s="3153">
        <f t="shared" si="5"/>
        <v>34756</v>
      </c>
      <c r="I32" s="3154">
        <v>30</v>
      </c>
      <c r="J32" s="3155" t="s">
        <v>3454</v>
      </c>
      <c r="K32" s="3155">
        <v>101</v>
      </c>
      <c r="L32" s="3155">
        <v>255.09</v>
      </c>
      <c r="M32" s="3153">
        <f t="shared" si="1"/>
        <v>958.8</v>
      </c>
      <c r="N32" s="3153">
        <f t="shared" si="6"/>
        <v>37585</v>
      </c>
      <c r="P32" s="3152">
        <v>30</v>
      </c>
      <c r="Q32" s="3153" t="s">
        <v>3498</v>
      </c>
      <c r="R32" s="3153">
        <v>2</v>
      </c>
      <c r="S32" s="3153">
        <v>102</v>
      </c>
      <c r="T32" s="3153">
        <v>335.74</v>
      </c>
      <c r="U32" s="3153">
        <f t="shared" si="2"/>
        <v>1212.5</v>
      </c>
      <c r="V32" s="3153">
        <f t="shared" si="7"/>
        <v>36115</v>
      </c>
      <c r="X32" s="3154">
        <v>30</v>
      </c>
      <c r="Y32" s="3155" t="s">
        <v>3454</v>
      </c>
      <c r="Z32" s="3153" t="s">
        <v>43</v>
      </c>
      <c r="AA32" s="3155">
        <v>-101</v>
      </c>
      <c r="AB32" s="3155">
        <v>95.71</v>
      </c>
      <c r="AC32" s="3153">
        <f t="shared" si="3"/>
        <v>13.5</v>
      </c>
      <c r="AD32" s="3153">
        <f t="shared" si="8"/>
        <v>1406</v>
      </c>
      <c r="AF32" s="3152">
        <v>30</v>
      </c>
      <c r="AG32" s="3156" t="s">
        <v>3491</v>
      </c>
      <c r="AH32" s="3156" t="s">
        <v>3392</v>
      </c>
      <c r="AI32" s="3153">
        <v>1030</v>
      </c>
      <c r="AJ32" s="3153">
        <v>47.92</v>
      </c>
      <c r="AK32" s="3153">
        <f t="shared" si="4"/>
        <v>6.39</v>
      </c>
      <c r="AL32" s="3153">
        <f t="shared" si="9"/>
        <v>1333</v>
      </c>
    </row>
    <row r="33" spans="1:38" ht="14.25" thickBot="1">
      <c r="A33" s="3152">
        <v>31</v>
      </c>
      <c r="B33" s="3153" t="s">
        <v>3424</v>
      </c>
      <c r="C33" s="3153">
        <v>1</v>
      </c>
      <c r="D33" s="3153">
        <v>102</v>
      </c>
      <c r="E33" s="3153">
        <v>180.13</v>
      </c>
      <c r="F33" s="3153">
        <f t="shared" si="0"/>
        <v>626.1</v>
      </c>
      <c r="G33" s="3153">
        <f t="shared" si="5"/>
        <v>34756</v>
      </c>
      <c r="I33" s="3154">
        <v>31</v>
      </c>
      <c r="J33" s="3155" t="s">
        <v>3454</v>
      </c>
      <c r="K33" s="3155">
        <v>102</v>
      </c>
      <c r="L33" s="3155">
        <v>253.98</v>
      </c>
      <c r="M33" s="3153">
        <f t="shared" si="1"/>
        <v>954.6</v>
      </c>
      <c r="N33" s="3153">
        <f t="shared" si="6"/>
        <v>37585</v>
      </c>
      <c r="P33" s="3152">
        <v>31</v>
      </c>
      <c r="Q33" s="3153" t="s">
        <v>3499</v>
      </c>
      <c r="R33" s="3153">
        <v>1</v>
      </c>
      <c r="S33" s="3153">
        <v>101</v>
      </c>
      <c r="T33" s="3153">
        <v>303.67</v>
      </c>
      <c r="U33" s="3153">
        <f t="shared" si="2"/>
        <v>1096.7</v>
      </c>
      <c r="V33" s="3153">
        <f t="shared" si="7"/>
        <v>36115</v>
      </c>
      <c r="X33" s="3154">
        <v>31</v>
      </c>
      <c r="Y33" s="3155" t="s">
        <v>3454</v>
      </c>
      <c r="Z33" s="3153" t="s">
        <v>43</v>
      </c>
      <c r="AA33" s="3155">
        <v>-102</v>
      </c>
      <c r="AB33" s="3155">
        <v>95.56</v>
      </c>
      <c r="AC33" s="3153">
        <f t="shared" si="3"/>
        <v>13.4</v>
      </c>
      <c r="AD33" s="3153">
        <f t="shared" si="8"/>
        <v>1406</v>
      </c>
      <c r="AF33" s="3152">
        <v>31</v>
      </c>
      <c r="AG33" s="3156" t="s">
        <v>3491</v>
      </c>
      <c r="AH33" s="3156" t="s">
        <v>3392</v>
      </c>
      <c r="AI33" s="3153">
        <v>1031</v>
      </c>
      <c r="AJ33" s="3153">
        <v>47.92</v>
      </c>
      <c r="AK33" s="3153">
        <f t="shared" si="4"/>
        <v>6.39</v>
      </c>
      <c r="AL33" s="3153">
        <f t="shared" si="9"/>
        <v>1333</v>
      </c>
    </row>
    <row r="34" spans="1:38" ht="14.25" thickBot="1">
      <c r="A34" s="3152">
        <v>32</v>
      </c>
      <c r="B34" s="3153" t="s">
        <v>3424</v>
      </c>
      <c r="C34" s="3153">
        <v>1</v>
      </c>
      <c r="D34" s="3153">
        <v>301</v>
      </c>
      <c r="E34" s="3153">
        <v>195.72</v>
      </c>
      <c r="F34" s="3153">
        <f t="shared" si="0"/>
        <v>680.2</v>
      </c>
      <c r="G34" s="3153">
        <f t="shared" si="5"/>
        <v>34756</v>
      </c>
      <c r="I34" s="3152">
        <v>32</v>
      </c>
      <c r="J34" s="3153" t="s">
        <v>3454</v>
      </c>
      <c r="K34" s="3153">
        <v>103</v>
      </c>
      <c r="L34" s="3153">
        <v>254.76</v>
      </c>
      <c r="M34" s="3153">
        <f>测绘面积!F63-SUM(拆分价值!M3:M33)</f>
        <v>957.40000000000146</v>
      </c>
      <c r="N34" s="3153">
        <f t="shared" si="6"/>
        <v>37585</v>
      </c>
      <c r="P34" s="3152">
        <v>32</v>
      </c>
      <c r="Q34" s="3153" t="s">
        <v>3499</v>
      </c>
      <c r="R34" s="3153">
        <v>1</v>
      </c>
      <c r="S34" s="3153">
        <v>102</v>
      </c>
      <c r="T34" s="3153">
        <v>303.67</v>
      </c>
      <c r="U34" s="3153">
        <f t="shared" si="2"/>
        <v>1096.7</v>
      </c>
      <c r="V34" s="3153">
        <f t="shared" si="7"/>
        <v>36115</v>
      </c>
      <c r="X34" s="3154">
        <v>32</v>
      </c>
      <c r="Y34" s="3155" t="s">
        <v>3454</v>
      </c>
      <c r="Z34" s="3153" t="s">
        <v>43</v>
      </c>
      <c r="AA34" s="3155">
        <v>-103</v>
      </c>
      <c r="AB34" s="3155">
        <v>95.87</v>
      </c>
      <c r="AC34" s="3153">
        <f t="shared" si="3"/>
        <v>13.5</v>
      </c>
      <c r="AD34" s="3153">
        <f t="shared" si="8"/>
        <v>1406</v>
      </c>
      <c r="AF34" s="3152">
        <v>32</v>
      </c>
      <c r="AG34" s="3156" t="s">
        <v>3491</v>
      </c>
      <c r="AH34" s="3156" t="s">
        <v>3392</v>
      </c>
      <c r="AI34" s="3153">
        <v>1032</v>
      </c>
      <c r="AJ34" s="3153">
        <v>47.92</v>
      </c>
      <c r="AK34" s="3153">
        <f t="shared" si="4"/>
        <v>6.39</v>
      </c>
      <c r="AL34" s="3153">
        <f t="shared" si="9"/>
        <v>1333</v>
      </c>
    </row>
    <row r="35" spans="1:38" ht="14.25" thickBot="1">
      <c r="A35" s="3152">
        <v>33</v>
      </c>
      <c r="B35" s="3153" t="s">
        <v>3424</v>
      </c>
      <c r="C35" s="3153">
        <v>1</v>
      </c>
      <c r="D35" s="3153">
        <v>302</v>
      </c>
      <c r="E35" s="3153">
        <v>180.13</v>
      </c>
      <c r="F35" s="3153">
        <f t="shared" si="0"/>
        <v>626.1</v>
      </c>
      <c r="G35" s="3153">
        <f t="shared" si="5"/>
        <v>34756</v>
      </c>
      <c r="I35" s="3244" t="s">
        <v>3500</v>
      </c>
      <c r="J35" s="3245"/>
      <c r="K35" s="3246"/>
      <c r="L35" s="3157">
        <v>8062.17</v>
      </c>
      <c r="M35" s="3157">
        <f>SUM(M3:M34)</f>
        <v>30302</v>
      </c>
      <c r="N35" s="3158" t="s">
        <v>43</v>
      </c>
      <c r="P35" s="3152">
        <v>33</v>
      </c>
      <c r="Q35" s="3153" t="s">
        <v>3499</v>
      </c>
      <c r="R35" s="3153">
        <v>2</v>
      </c>
      <c r="S35" s="3153">
        <v>101</v>
      </c>
      <c r="T35" s="3153">
        <v>335.74</v>
      </c>
      <c r="U35" s="3153">
        <f t="shared" si="2"/>
        <v>1212.5</v>
      </c>
      <c r="V35" s="3153">
        <f t="shared" si="7"/>
        <v>36115</v>
      </c>
      <c r="X35" s="3154">
        <v>33</v>
      </c>
      <c r="Y35" s="3153" t="s">
        <v>3490</v>
      </c>
      <c r="Z35" s="3153">
        <v>1</v>
      </c>
      <c r="AA35" s="3153">
        <v>-101</v>
      </c>
      <c r="AB35" s="3153">
        <v>94.57</v>
      </c>
      <c r="AC35" s="3153">
        <f t="shared" si="3"/>
        <v>13.3</v>
      </c>
      <c r="AD35" s="3153">
        <f t="shared" si="8"/>
        <v>1406</v>
      </c>
      <c r="AF35" s="3152">
        <v>33</v>
      </c>
      <c r="AG35" s="3156" t="s">
        <v>3491</v>
      </c>
      <c r="AH35" s="3156" t="s">
        <v>3392</v>
      </c>
      <c r="AI35" s="3153">
        <v>1033</v>
      </c>
      <c r="AJ35" s="3153">
        <v>47.92</v>
      </c>
      <c r="AK35" s="3153">
        <f t="shared" si="4"/>
        <v>6.39</v>
      </c>
      <c r="AL35" s="3153">
        <f t="shared" si="9"/>
        <v>1333</v>
      </c>
    </row>
    <row r="36" spans="1:38" ht="14.25" thickBot="1">
      <c r="A36" s="3152">
        <v>34</v>
      </c>
      <c r="B36" s="3153" t="s">
        <v>3424</v>
      </c>
      <c r="C36" s="3153">
        <v>1</v>
      </c>
      <c r="D36" s="3153">
        <v>501</v>
      </c>
      <c r="E36" s="3153">
        <v>180.43</v>
      </c>
      <c r="F36" s="3153">
        <f t="shared" si="0"/>
        <v>627.1</v>
      </c>
      <c r="G36" s="3153">
        <f t="shared" si="5"/>
        <v>34756</v>
      </c>
      <c r="P36" s="3152">
        <v>34</v>
      </c>
      <c r="Q36" s="3153" t="s">
        <v>3499</v>
      </c>
      <c r="R36" s="3153">
        <v>2</v>
      </c>
      <c r="S36" s="3153">
        <v>102</v>
      </c>
      <c r="T36" s="3153">
        <v>335.74</v>
      </c>
      <c r="U36" s="3153">
        <f t="shared" si="2"/>
        <v>1212.5</v>
      </c>
      <c r="V36" s="3153">
        <f t="shared" si="7"/>
        <v>36115</v>
      </c>
      <c r="X36" s="3154">
        <v>34</v>
      </c>
      <c r="Y36" s="3153" t="s">
        <v>3490</v>
      </c>
      <c r="Z36" s="3153">
        <v>1</v>
      </c>
      <c r="AA36" s="3153">
        <v>-102</v>
      </c>
      <c r="AB36" s="3153">
        <v>94.57</v>
      </c>
      <c r="AC36" s="3153">
        <f t="shared" si="3"/>
        <v>13.3</v>
      </c>
      <c r="AD36" s="3153">
        <f t="shared" si="8"/>
        <v>1406</v>
      </c>
      <c r="AF36" s="3152">
        <v>34</v>
      </c>
      <c r="AG36" s="3156" t="s">
        <v>3491</v>
      </c>
      <c r="AH36" s="3156" t="s">
        <v>3392</v>
      </c>
      <c r="AI36" s="3153">
        <v>1034</v>
      </c>
      <c r="AJ36" s="3153">
        <v>47.92</v>
      </c>
      <c r="AK36" s="3153">
        <f t="shared" si="4"/>
        <v>6.39</v>
      </c>
      <c r="AL36" s="3153">
        <f t="shared" si="9"/>
        <v>1333</v>
      </c>
    </row>
    <row r="37" spans="1:38" ht="14.25" thickBot="1">
      <c r="A37" s="3152">
        <v>35</v>
      </c>
      <c r="B37" s="3153" t="s">
        <v>3424</v>
      </c>
      <c r="C37" s="3153">
        <v>2</v>
      </c>
      <c r="D37" s="3153">
        <v>101</v>
      </c>
      <c r="E37" s="3153">
        <v>174.6</v>
      </c>
      <c r="F37" s="3153">
        <f t="shared" si="0"/>
        <v>606.79999999999995</v>
      </c>
      <c r="G37" s="3153">
        <f t="shared" si="5"/>
        <v>34756</v>
      </c>
      <c r="K37" s="3159" t="s">
        <v>3501</v>
      </c>
      <c r="L37" s="3159">
        <v>8062.17</v>
      </c>
      <c r="M37" s="3159">
        <v>29374</v>
      </c>
      <c r="N37" s="3159">
        <v>36434</v>
      </c>
      <c r="P37" s="3152">
        <v>35</v>
      </c>
      <c r="Q37" s="3153" t="s">
        <v>3502</v>
      </c>
      <c r="R37" s="3153">
        <v>1</v>
      </c>
      <c r="S37" s="3153">
        <v>101</v>
      </c>
      <c r="T37" s="3153">
        <v>321.99</v>
      </c>
      <c r="U37" s="3153">
        <f t="shared" si="2"/>
        <v>1162.9000000000001</v>
      </c>
      <c r="V37" s="3153">
        <f t="shared" si="7"/>
        <v>36115</v>
      </c>
      <c r="X37" s="3154">
        <v>35</v>
      </c>
      <c r="Y37" s="3153" t="s">
        <v>3490</v>
      </c>
      <c r="Z37" s="3153">
        <v>2</v>
      </c>
      <c r="AA37" s="3153">
        <v>-101</v>
      </c>
      <c r="AB37" s="3153">
        <v>132.34</v>
      </c>
      <c r="AC37" s="3153">
        <f t="shared" si="3"/>
        <v>18.600000000000001</v>
      </c>
      <c r="AD37" s="3153">
        <f t="shared" si="8"/>
        <v>1406</v>
      </c>
      <c r="AF37" s="3152">
        <v>35</v>
      </c>
      <c r="AG37" s="3156" t="s">
        <v>3491</v>
      </c>
      <c r="AH37" s="3156" t="s">
        <v>3392</v>
      </c>
      <c r="AI37" s="3153">
        <v>1035</v>
      </c>
      <c r="AJ37" s="3153">
        <v>47.92</v>
      </c>
      <c r="AK37" s="3153">
        <f t="shared" si="4"/>
        <v>6.39</v>
      </c>
      <c r="AL37" s="3153">
        <f t="shared" si="9"/>
        <v>1333</v>
      </c>
    </row>
    <row r="38" spans="1:38" ht="14.25" thickBot="1">
      <c r="A38" s="3152">
        <v>36</v>
      </c>
      <c r="B38" s="3153" t="s">
        <v>3424</v>
      </c>
      <c r="C38" s="3153">
        <v>2</v>
      </c>
      <c r="D38" s="3153">
        <v>102</v>
      </c>
      <c r="E38" s="3153">
        <v>174.6</v>
      </c>
      <c r="F38" s="3153">
        <f t="shared" si="0"/>
        <v>606.79999999999995</v>
      </c>
      <c r="G38" s="3153">
        <f t="shared" si="5"/>
        <v>34756</v>
      </c>
      <c r="P38" s="3152">
        <v>36</v>
      </c>
      <c r="Q38" s="3153" t="s">
        <v>3502</v>
      </c>
      <c r="R38" s="3153">
        <v>1</v>
      </c>
      <c r="S38" s="3153">
        <v>102</v>
      </c>
      <c r="T38" s="3153">
        <v>319.18</v>
      </c>
      <c r="U38" s="3153">
        <f t="shared" si="2"/>
        <v>1152.7</v>
      </c>
      <c r="V38" s="3153">
        <f t="shared" si="7"/>
        <v>36115</v>
      </c>
      <c r="X38" s="3154">
        <v>36</v>
      </c>
      <c r="Y38" s="3153" t="s">
        <v>3490</v>
      </c>
      <c r="Z38" s="3153">
        <v>2</v>
      </c>
      <c r="AA38" s="3153">
        <v>-102</v>
      </c>
      <c r="AB38" s="3153">
        <v>132.34</v>
      </c>
      <c r="AC38" s="3153">
        <f t="shared" si="3"/>
        <v>18.600000000000001</v>
      </c>
      <c r="AD38" s="3153">
        <f t="shared" si="8"/>
        <v>1406</v>
      </c>
      <c r="AF38" s="3152">
        <v>36</v>
      </c>
      <c r="AG38" s="3156" t="s">
        <v>3491</v>
      </c>
      <c r="AH38" s="3156" t="s">
        <v>3392</v>
      </c>
      <c r="AI38" s="3153">
        <v>1036</v>
      </c>
      <c r="AJ38" s="3153">
        <v>47.92</v>
      </c>
      <c r="AK38" s="3153">
        <f t="shared" si="4"/>
        <v>6.39</v>
      </c>
      <c r="AL38" s="3153">
        <f t="shared" si="9"/>
        <v>1333</v>
      </c>
    </row>
    <row r="39" spans="1:38" ht="14.25" thickBot="1">
      <c r="A39" s="3152">
        <v>37</v>
      </c>
      <c r="B39" s="3153" t="s">
        <v>3424</v>
      </c>
      <c r="C39" s="3153">
        <v>2</v>
      </c>
      <c r="D39" s="3153">
        <v>301</v>
      </c>
      <c r="E39" s="3153">
        <v>174.6</v>
      </c>
      <c r="F39" s="3153">
        <f t="shared" si="0"/>
        <v>606.79999999999995</v>
      </c>
      <c r="G39" s="3153">
        <f t="shared" si="5"/>
        <v>34756</v>
      </c>
      <c r="P39" s="3152">
        <v>37</v>
      </c>
      <c r="Q39" s="3153" t="s">
        <v>3502</v>
      </c>
      <c r="R39" s="3153">
        <v>2</v>
      </c>
      <c r="S39" s="3153">
        <v>101</v>
      </c>
      <c r="T39" s="3153">
        <v>319.18</v>
      </c>
      <c r="U39" s="3153">
        <f t="shared" si="2"/>
        <v>1152.7</v>
      </c>
      <c r="V39" s="3153">
        <f t="shared" si="7"/>
        <v>36115</v>
      </c>
      <c r="X39" s="3154">
        <v>37</v>
      </c>
      <c r="Y39" s="3153" t="s">
        <v>3492</v>
      </c>
      <c r="Z39" s="3153">
        <v>1</v>
      </c>
      <c r="AA39" s="3153">
        <v>-101</v>
      </c>
      <c r="AB39" s="3153">
        <v>95.87</v>
      </c>
      <c r="AC39" s="3153">
        <f t="shared" si="3"/>
        <v>13.5</v>
      </c>
      <c r="AD39" s="3153">
        <f t="shared" si="8"/>
        <v>1406</v>
      </c>
      <c r="AF39" s="3152">
        <v>37</v>
      </c>
      <c r="AG39" s="3156" t="s">
        <v>3491</v>
      </c>
      <c r="AH39" s="3156" t="s">
        <v>3392</v>
      </c>
      <c r="AI39" s="3153">
        <v>1037</v>
      </c>
      <c r="AJ39" s="3153">
        <v>44.93</v>
      </c>
      <c r="AK39" s="3153">
        <f t="shared" si="4"/>
        <v>5.99</v>
      </c>
      <c r="AL39" s="3153">
        <f t="shared" si="9"/>
        <v>1333</v>
      </c>
    </row>
    <row r="40" spans="1:38" ht="14.25" thickBot="1">
      <c r="A40" s="3152">
        <v>38</v>
      </c>
      <c r="B40" s="3153" t="s">
        <v>3424</v>
      </c>
      <c r="C40" s="3153">
        <v>2</v>
      </c>
      <c r="D40" s="3153">
        <v>302</v>
      </c>
      <c r="E40" s="3153">
        <v>174.6</v>
      </c>
      <c r="F40" s="3153">
        <f t="shared" si="0"/>
        <v>606.79999999999995</v>
      </c>
      <c r="G40" s="3153">
        <f t="shared" si="5"/>
        <v>34756</v>
      </c>
      <c r="P40" s="3152">
        <v>38</v>
      </c>
      <c r="Q40" s="3153" t="s">
        <v>3502</v>
      </c>
      <c r="R40" s="3153">
        <v>2</v>
      </c>
      <c r="S40" s="3153">
        <v>102</v>
      </c>
      <c r="T40" s="3153">
        <v>321.52999999999997</v>
      </c>
      <c r="U40" s="3153">
        <f t="shared" si="2"/>
        <v>1161.2</v>
      </c>
      <c r="V40" s="3153">
        <f t="shared" si="7"/>
        <v>36115</v>
      </c>
      <c r="X40" s="3154">
        <v>38</v>
      </c>
      <c r="Y40" s="3153" t="s">
        <v>3492</v>
      </c>
      <c r="Z40" s="3153">
        <v>1</v>
      </c>
      <c r="AA40" s="3153">
        <v>-102</v>
      </c>
      <c r="AB40" s="3153">
        <v>95.87</v>
      </c>
      <c r="AC40" s="3153">
        <f t="shared" si="3"/>
        <v>13.5</v>
      </c>
      <c r="AD40" s="3153">
        <f t="shared" si="8"/>
        <v>1406</v>
      </c>
      <c r="AF40" s="3152">
        <v>38</v>
      </c>
      <c r="AG40" s="3156" t="s">
        <v>3491</v>
      </c>
      <c r="AH40" s="3156" t="s">
        <v>3392</v>
      </c>
      <c r="AI40" s="3153">
        <v>1038</v>
      </c>
      <c r="AJ40" s="3153">
        <v>47.92</v>
      </c>
      <c r="AK40" s="3153">
        <f t="shared" si="4"/>
        <v>6.39</v>
      </c>
      <c r="AL40" s="3153">
        <f t="shared" si="9"/>
        <v>1333</v>
      </c>
    </row>
    <row r="41" spans="1:38" ht="14.25" thickBot="1">
      <c r="A41" s="3152">
        <v>39</v>
      </c>
      <c r="B41" s="3153" t="s">
        <v>3424</v>
      </c>
      <c r="C41" s="3153">
        <v>2</v>
      </c>
      <c r="D41" s="3153">
        <v>501</v>
      </c>
      <c r="E41" s="3153">
        <v>169.68</v>
      </c>
      <c r="F41" s="3153">
        <f t="shared" si="0"/>
        <v>589.70000000000005</v>
      </c>
      <c r="G41" s="3153">
        <f t="shared" si="5"/>
        <v>34756</v>
      </c>
      <c r="P41" s="3152">
        <v>39</v>
      </c>
      <c r="Q41" s="3153" t="s">
        <v>3502</v>
      </c>
      <c r="R41" s="3153">
        <v>3</v>
      </c>
      <c r="S41" s="3153">
        <v>101</v>
      </c>
      <c r="T41" s="3153">
        <v>321.52999999999997</v>
      </c>
      <c r="U41" s="3153">
        <f t="shared" si="2"/>
        <v>1161.2</v>
      </c>
      <c r="V41" s="3153">
        <f t="shared" si="7"/>
        <v>36115</v>
      </c>
      <c r="X41" s="3154">
        <v>39</v>
      </c>
      <c r="Y41" s="3153" t="s">
        <v>3492</v>
      </c>
      <c r="Z41" s="3153">
        <v>2</v>
      </c>
      <c r="AA41" s="3153">
        <v>-101</v>
      </c>
      <c r="AB41" s="3153">
        <v>97.02</v>
      </c>
      <c r="AC41" s="3153">
        <f t="shared" si="3"/>
        <v>13.6</v>
      </c>
      <c r="AD41" s="3153">
        <f t="shared" si="8"/>
        <v>1406</v>
      </c>
      <c r="AF41" s="3152">
        <v>39</v>
      </c>
      <c r="AG41" s="3156" t="s">
        <v>3491</v>
      </c>
      <c r="AH41" s="3156" t="s">
        <v>3392</v>
      </c>
      <c r="AI41" s="3153">
        <v>1039</v>
      </c>
      <c r="AJ41" s="3153">
        <v>47.92</v>
      </c>
      <c r="AK41" s="3153">
        <f t="shared" si="4"/>
        <v>6.39</v>
      </c>
      <c r="AL41" s="3153">
        <f t="shared" si="9"/>
        <v>1333</v>
      </c>
    </row>
    <row r="42" spans="1:38" ht="14.25" thickBot="1">
      <c r="A42" s="3152">
        <v>40</v>
      </c>
      <c r="B42" s="3153" t="s">
        <v>3424</v>
      </c>
      <c r="C42" s="3153">
        <v>3</v>
      </c>
      <c r="D42" s="3153">
        <v>101</v>
      </c>
      <c r="E42" s="3153">
        <v>174.6</v>
      </c>
      <c r="F42" s="3153">
        <f t="shared" si="0"/>
        <v>606.79999999999995</v>
      </c>
      <c r="G42" s="3153">
        <f t="shared" si="5"/>
        <v>34756</v>
      </c>
      <c r="P42" s="3152">
        <v>40</v>
      </c>
      <c r="Q42" s="3153" t="s">
        <v>3502</v>
      </c>
      <c r="R42" s="3153">
        <v>3</v>
      </c>
      <c r="S42" s="3153">
        <v>102</v>
      </c>
      <c r="T42" s="3153">
        <v>321.99</v>
      </c>
      <c r="U42" s="3153">
        <f t="shared" si="2"/>
        <v>1162.9000000000001</v>
      </c>
      <c r="V42" s="3153">
        <f t="shared" si="7"/>
        <v>36115</v>
      </c>
      <c r="X42" s="3154">
        <v>40</v>
      </c>
      <c r="Y42" s="3153" t="s">
        <v>3492</v>
      </c>
      <c r="Z42" s="3153">
        <v>2</v>
      </c>
      <c r="AA42" s="3153">
        <v>-102</v>
      </c>
      <c r="AB42" s="3153">
        <v>97.02</v>
      </c>
      <c r="AC42" s="3153">
        <f t="shared" si="3"/>
        <v>13.6</v>
      </c>
      <c r="AD42" s="3153">
        <f t="shared" si="8"/>
        <v>1406</v>
      </c>
      <c r="AF42" s="3152">
        <v>40</v>
      </c>
      <c r="AG42" s="3156" t="s">
        <v>3491</v>
      </c>
      <c r="AH42" s="3156" t="s">
        <v>3392</v>
      </c>
      <c r="AI42" s="3153">
        <v>1040</v>
      </c>
      <c r="AJ42" s="3153">
        <v>47.92</v>
      </c>
      <c r="AK42" s="3153">
        <f t="shared" si="4"/>
        <v>6.39</v>
      </c>
      <c r="AL42" s="3153">
        <f t="shared" si="9"/>
        <v>1333</v>
      </c>
    </row>
    <row r="43" spans="1:38" ht="14.25" thickBot="1">
      <c r="A43" s="3152">
        <v>41</v>
      </c>
      <c r="B43" s="3153" t="s">
        <v>3424</v>
      </c>
      <c r="C43" s="3153">
        <v>3</v>
      </c>
      <c r="D43" s="3153">
        <v>102</v>
      </c>
      <c r="E43" s="3153">
        <v>174.6</v>
      </c>
      <c r="F43" s="3153">
        <f t="shared" si="0"/>
        <v>606.79999999999995</v>
      </c>
      <c r="G43" s="3153">
        <f t="shared" si="5"/>
        <v>34756</v>
      </c>
      <c r="P43" s="3152">
        <v>41</v>
      </c>
      <c r="Q43" s="3153" t="s">
        <v>3503</v>
      </c>
      <c r="R43" s="3153">
        <v>1</v>
      </c>
      <c r="S43" s="3153">
        <v>101</v>
      </c>
      <c r="T43" s="3153">
        <v>303.29000000000002</v>
      </c>
      <c r="U43" s="3153">
        <f t="shared" si="2"/>
        <v>1095.3</v>
      </c>
      <c r="V43" s="3153">
        <f t="shared" si="7"/>
        <v>36115</v>
      </c>
      <c r="X43" s="3154">
        <v>41</v>
      </c>
      <c r="Y43" s="3153" t="s">
        <v>3492</v>
      </c>
      <c r="Z43" s="3153">
        <v>3</v>
      </c>
      <c r="AA43" s="3153">
        <v>-101</v>
      </c>
      <c r="AB43" s="3153">
        <v>132.66</v>
      </c>
      <c r="AC43" s="3153">
        <f t="shared" si="3"/>
        <v>18.7</v>
      </c>
      <c r="AD43" s="3153">
        <f t="shared" si="8"/>
        <v>1406</v>
      </c>
      <c r="AF43" s="3152">
        <v>41</v>
      </c>
      <c r="AG43" s="3156" t="s">
        <v>3491</v>
      </c>
      <c r="AH43" s="3156" t="s">
        <v>3392</v>
      </c>
      <c r="AI43" s="3153">
        <v>1041</v>
      </c>
      <c r="AJ43" s="3153">
        <v>47.92</v>
      </c>
      <c r="AK43" s="3153">
        <f t="shared" si="4"/>
        <v>6.39</v>
      </c>
      <c r="AL43" s="3153">
        <f t="shared" si="9"/>
        <v>1333</v>
      </c>
    </row>
    <row r="44" spans="1:38" ht="14.25" thickBot="1">
      <c r="A44" s="3152">
        <v>42</v>
      </c>
      <c r="B44" s="3153" t="s">
        <v>3424</v>
      </c>
      <c r="C44" s="3153">
        <v>3</v>
      </c>
      <c r="D44" s="3153">
        <v>301</v>
      </c>
      <c r="E44" s="3153">
        <v>174.6</v>
      </c>
      <c r="F44" s="3153">
        <f t="shared" si="0"/>
        <v>606.79999999999995</v>
      </c>
      <c r="G44" s="3153">
        <f t="shared" si="5"/>
        <v>34756</v>
      </c>
      <c r="P44" s="3152">
        <v>42</v>
      </c>
      <c r="Q44" s="3153" t="s">
        <v>3503</v>
      </c>
      <c r="R44" s="3153">
        <v>2</v>
      </c>
      <c r="S44" s="3153">
        <v>101</v>
      </c>
      <c r="T44" s="3153">
        <v>275.98</v>
      </c>
      <c r="U44" s="3153">
        <f t="shared" si="2"/>
        <v>996.7</v>
      </c>
      <c r="V44" s="3153">
        <f t="shared" si="7"/>
        <v>36115</v>
      </c>
      <c r="X44" s="3154">
        <v>42</v>
      </c>
      <c r="Y44" s="3153" t="s">
        <v>3492</v>
      </c>
      <c r="Z44" s="3153">
        <v>3</v>
      </c>
      <c r="AA44" s="3153">
        <v>-102</v>
      </c>
      <c r="AB44" s="3153">
        <v>132.66</v>
      </c>
      <c r="AC44" s="3153">
        <f t="shared" si="3"/>
        <v>18.7</v>
      </c>
      <c r="AD44" s="3153">
        <f t="shared" si="8"/>
        <v>1406</v>
      </c>
      <c r="AF44" s="3152">
        <v>42</v>
      </c>
      <c r="AG44" s="3156" t="s">
        <v>3491</v>
      </c>
      <c r="AH44" s="3156" t="s">
        <v>3392</v>
      </c>
      <c r="AI44" s="3153">
        <v>1042</v>
      </c>
      <c r="AJ44" s="3153">
        <v>47.92</v>
      </c>
      <c r="AK44" s="3153">
        <f t="shared" si="4"/>
        <v>6.39</v>
      </c>
      <c r="AL44" s="3153">
        <f t="shared" si="9"/>
        <v>1333</v>
      </c>
    </row>
    <row r="45" spans="1:38" ht="14.25" thickBot="1">
      <c r="A45" s="3152">
        <v>43</v>
      </c>
      <c r="B45" s="3153" t="s">
        <v>3424</v>
      </c>
      <c r="C45" s="3153">
        <v>3</v>
      </c>
      <c r="D45" s="3153">
        <v>302</v>
      </c>
      <c r="E45" s="3153">
        <v>174.6</v>
      </c>
      <c r="F45" s="3153">
        <f t="shared" si="0"/>
        <v>606.79999999999995</v>
      </c>
      <c r="G45" s="3153">
        <f t="shared" si="5"/>
        <v>34756</v>
      </c>
      <c r="P45" s="3152">
        <v>43</v>
      </c>
      <c r="Q45" s="3153" t="s">
        <v>3503</v>
      </c>
      <c r="R45" s="3153">
        <v>2</v>
      </c>
      <c r="S45" s="3153">
        <v>102</v>
      </c>
      <c r="T45" s="3153">
        <v>276.3</v>
      </c>
      <c r="U45" s="3153">
        <f t="shared" si="2"/>
        <v>997.9</v>
      </c>
      <c r="V45" s="3153">
        <f t="shared" si="7"/>
        <v>36115</v>
      </c>
      <c r="X45" s="3154">
        <v>43</v>
      </c>
      <c r="Y45" s="3153" t="s">
        <v>3495</v>
      </c>
      <c r="Z45" s="3153">
        <v>1</v>
      </c>
      <c r="AA45" s="3153">
        <v>-101</v>
      </c>
      <c r="AB45" s="3153">
        <v>95.87</v>
      </c>
      <c r="AC45" s="3153">
        <f t="shared" si="3"/>
        <v>13.5</v>
      </c>
      <c r="AD45" s="3153">
        <f t="shared" si="8"/>
        <v>1406</v>
      </c>
      <c r="AF45" s="3152">
        <v>43</v>
      </c>
      <c r="AG45" s="3156" t="s">
        <v>3491</v>
      </c>
      <c r="AH45" s="3156" t="s">
        <v>3392</v>
      </c>
      <c r="AI45" s="3153">
        <v>1043</v>
      </c>
      <c r="AJ45" s="3153">
        <v>47.92</v>
      </c>
      <c r="AK45" s="3153">
        <f t="shared" si="4"/>
        <v>6.39</v>
      </c>
      <c r="AL45" s="3153">
        <f t="shared" si="9"/>
        <v>1333</v>
      </c>
    </row>
    <row r="46" spans="1:38" ht="14.25" thickBot="1">
      <c r="A46" s="3152">
        <v>44</v>
      </c>
      <c r="B46" s="3153" t="s">
        <v>3424</v>
      </c>
      <c r="C46" s="3153">
        <v>3</v>
      </c>
      <c r="D46" s="3153">
        <v>501</v>
      </c>
      <c r="E46" s="3153">
        <v>169.68</v>
      </c>
      <c r="F46" s="3153">
        <f t="shared" si="0"/>
        <v>589.70000000000005</v>
      </c>
      <c r="G46" s="3153">
        <f t="shared" si="5"/>
        <v>34756</v>
      </c>
      <c r="P46" s="3152">
        <v>44</v>
      </c>
      <c r="Q46" s="3153" t="s">
        <v>3503</v>
      </c>
      <c r="R46" s="3153">
        <v>3</v>
      </c>
      <c r="S46" s="3153">
        <v>101</v>
      </c>
      <c r="T46" s="3153">
        <v>336.96</v>
      </c>
      <c r="U46" s="3153">
        <f t="shared" si="2"/>
        <v>1216.9000000000001</v>
      </c>
      <c r="V46" s="3153">
        <f t="shared" si="7"/>
        <v>36115</v>
      </c>
      <c r="X46" s="3154">
        <v>44</v>
      </c>
      <c r="Y46" s="3153" t="s">
        <v>3495</v>
      </c>
      <c r="Z46" s="3153">
        <v>1</v>
      </c>
      <c r="AA46" s="3153">
        <v>-102</v>
      </c>
      <c r="AB46" s="3153">
        <v>95.87</v>
      </c>
      <c r="AC46" s="3153">
        <f t="shared" si="3"/>
        <v>13.5</v>
      </c>
      <c r="AD46" s="3153">
        <f t="shared" si="8"/>
        <v>1406</v>
      </c>
      <c r="AF46" s="3152">
        <v>44</v>
      </c>
      <c r="AG46" s="3156" t="s">
        <v>3491</v>
      </c>
      <c r="AH46" s="3156" t="s">
        <v>3392</v>
      </c>
      <c r="AI46" s="3153">
        <v>1044</v>
      </c>
      <c r="AJ46" s="3153">
        <v>47.92</v>
      </c>
      <c r="AK46" s="3153">
        <f t="shared" si="4"/>
        <v>6.39</v>
      </c>
      <c r="AL46" s="3153">
        <f t="shared" si="9"/>
        <v>1333</v>
      </c>
    </row>
    <row r="47" spans="1:38" ht="14.25" thickBot="1">
      <c r="A47" s="3152">
        <v>45</v>
      </c>
      <c r="B47" s="3153" t="s">
        <v>3424</v>
      </c>
      <c r="C47" s="3153">
        <v>4</v>
      </c>
      <c r="D47" s="3153">
        <v>101</v>
      </c>
      <c r="E47" s="3153">
        <v>180.13</v>
      </c>
      <c r="F47" s="3153">
        <f t="shared" si="0"/>
        <v>626.1</v>
      </c>
      <c r="G47" s="3153">
        <f t="shared" si="5"/>
        <v>34756</v>
      </c>
      <c r="P47" s="3152">
        <v>45</v>
      </c>
      <c r="Q47" s="3153" t="s">
        <v>3503</v>
      </c>
      <c r="R47" s="3153">
        <v>3</v>
      </c>
      <c r="S47" s="3153">
        <v>102</v>
      </c>
      <c r="T47" s="3153">
        <v>336.96</v>
      </c>
      <c r="U47" s="3153">
        <f t="shared" si="2"/>
        <v>1216.9000000000001</v>
      </c>
      <c r="V47" s="3153">
        <f t="shared" si="7"/>
        <v>36115</v>
      </c>
      <c r="X47" s="3154">
        <v>45</v>
      </c>
      <c r="Y47" s="3153" t="s">
        <v>3495</v>
      </c>
      <c r="Z47" s="3153">
        <v>2</v>
      </c>
      <c r="AA47" s="3153">
        <v>-101</v>
      </c>
      <c r="AB47" s="3153">
        <v>97.02</v>
      </c>
      <c r="AC47" s="3153">
        <f t="shared" si="3"/>
        <v>13.6</v>
      </c>
      <c r="AD47" s="3153">
        <f t="shared" si="8"/>
        <v>1406</v>
      </c>
      <c r="AF47" s="3152">
        <v>45</v>
      </c>
      <c r="AG47" s="3156" t="s">
        <v>3491</v>
      </c>
      <c r="AH47" s="3156" t="s">
        <v>3392</v>
      </c>
      <c r="AI47" s="3153">
        <v>1045</v>
      </c>
      <c r="AJ47" s="3153">
        <v>47.92</v>
      </c>
      <c r="AK47" s="3153">
        <f t="shared" si="4"/>
        <v>6.39</v>
      </c>
      <c r="AL47" s="3153">
        <f t="shared" si="9"/>
        <v>1333</v>
      </c>
    </row>
    <row r="48" spans="1:38" ht="14.25" thickBot="1">
      <c r="A48" s="3152">
        <v>46</v>
      </c>
      <c r="B48" s="3153" t="s">
        <v>3424</v>
      </c>
      <c r="C48" s="3153">
        <v>4</v>
      </c>
      <c r="D48" s="3153">
        <v>102</v>
      </c>
      <c r="E48" s="3153">
        <v>195.72</v>
      </c>
      <c r="F48" s="3153">
        <f t="shared" si="0"/>
        <v>680.2</v>
      </c>
      <c r="G48" s="3153">
        <f t="shared" si="5"/>
        <v>34756</v>
      </c>
      <c r="P48" s="3152">
        <v>46</v>
      </c>
      <c r="Q48" s="3153" t="s">
        <v>3504</v>
      </c>
      <c r="R48" s="3153">
        <v>1</v>
      </c>
      <c r="S48" s="3153">
        <v>101</v>
      </c>
      <c r="T48" s="3153">
        <v>303.67</v>
      </c>
      <c r="U48" s="3153">
        <f t="shared" si="2"/>
        <v>1096.7</v>
      </c>
      <c r="V48" s="3153">
        <f t="shared" si="7"/>
        <v>36115</v>
      </c>
      <c r="X48" s="3154">
        <v>46</v>
      </c>
      <c r="Y48" s="3153" t="s">
        <v>3495</v>
      </c>
      <c r="Z48" s="3153">
        <v>2</v>
      </c>
      <c r="AA48" s="3153">
        <v>-102</v>
      </c>
      <c r="AB48" s="3153">
        <v>97.02</v>
      </c>
      <c r="AC48" s="3153">
        <f t="shared" si="3"/>
        <v>13.6</v>
      </c>
      <c r="AD48" s="3153">
        <f t="shared" si="8"/>
        <v>1406</v>
      </c>
      <c r="AF48" s="3152">
        <v>46</v>
      </c>
      <c r="AG48" s="3156" t="s">
        <v>3491</v>
      </c>
      <c r="AH48" s="3156" t="s">
        <v>3392</v>
      </c>
      <c r="AI48" s="3153">
        <v>1046</v>
      </c>
      <c r="AJ48" s="3153">
        <v>47.92</v>
      </c>
      <c r="AK48" s="3153">
        <f t="shared" si="4"/>
        <v>6.39</v>
      </c>
      <c r="AL48" s="3153">
        <f t="shared" si="9"/>
        <v>1333</v>
      </c>
    </row>
    <row r="49" spans="1:38" ht="14.25" thickBot="1">
      <c r="A49" s="3152">
        <v>47</v>
      </c>
      <c r="B49" s="3153" t="s">
        <v>3424</v>
      </c>
      <c r="C49" s="3153">
        <v>4</v>
      </c>
      <c r="D49" s="3153">
        <v>301</v>
      </c>
      <c r="E49" s="3153">
        <v>180.13</v>
      </c>
      <c r="F49" s="3153">
        <f t="shared" si="0"/>
        <v>626.1</v>
      </c>
      <c r="G49" s="3153">
        <f t="shared" si="5"/>
        <v>34756</v>
      </c>
      <c r="P49" s="3152">
        <v>47</v>
      </c>
      <c r="Q49" s="3153" t="s">
        <v>3504</v>
      </c>
      <c r="R49" s="3153">
        <v>1</v>
      </c>
      <c r="S49" s="3153">
        <v>102</v>
      </c>
      <c r="T49" s="3153">
        <v>303.67</v>
      </c>
      <c r="U49" s="3153">
        <f t="shared" si="2"/>
        <v>1096.7</v>
      </c>
      <c r="V49" s="3153">
        <f t="shared" si="7"/>
        <v>36115</v>
      </c>
      <c r="X49" s="3154">
        <v>47</v>
      </c>
      <c r="Y49" s="3153" t="s">
        <v>3495</v>
      </c>
      <c r="Z49" s="3153">
        <v>3</v>
      </c>
      <c r="AA49" s="3153">
        <v>-101</v>
      </c>
      <c r="AB49" s="3153">
        <v>132.66</v>
      </c>
      <c r="AC49" s="3153">
        <f t="shared" si="3"/>
        <v>18.7</v>
      </c>
      <c r="AD49" s="3153">
        <f t="shared" si="8"/>
        <v>1406</v>
      </c>
      <c r="AF49" s="3152">
        <v>47</v>
      </c>
      <c r="AG49" s="3156" t="s">
        <v>3491</v>
      </c>
      <c r="AH49" s="3156" t="s">
        <v>3392</v>
      </c>
      <c r="AI49" s="3153">
        <v>1047</v>
      </c>
      <c r="AJ49" s="3153">
        <v>47.92</v>
      </c>
      <c r="AK49" s="3153">
        <f t="shared" si="4"/>
        <v>6.39</v>
      </c>
      <c r="AL49" s="3153">
        <f t="shared" si="9"/>
        <v>1333</v>
      </c>
    </row>
    <row r="50" spans="1:38" ht="14.25" thickBot="1">
      <c r="A50" s="3152">
        <v>48</v>
      </c>
      <c r="B50" s="3153" t="s">
        <v>3424</v>
      </c>
      <c r="C50" s="3153">
        <v>4</v>
      </c>
      <c r="D50" s="3153">
        <v>302</v>
      </c>
      <c r="E50" s="3153">
        <v>195.72</v>
      </c>
      <c r="F50" s="3153">
        <f t="shared" si="0"/>
        <v>680.2</v>
      </c>
      <c r="G50" s="3153">
        <f t="shared" si="5"/>
        <v>34756</v>
      </c>
      <c r="P50" s="3152">
        <v>48</v>
      </c>
      <c r="Q50" s="3153" t="s">
        <v>3504</v>
      </c>
      <c r="R50" s="3153">
        <v>2</v>
      </c>
      <c r="S50" s="3153">
        <v>101</v>
      </c>
      <c r="T50" s="3153">
        <v>335.74</v>
      </c>
      <c r="U50" s="3153">
        <f t="shared" si="2"/>
        <v>1212.5</v>
      </c>
      <c r="V50" s="3153">
        <f t="shared" si="7"/>
        <v>36115</v>
      </c>
      <c r="X50" s="3154">
        <v>48</v>
      </c>
      <c r="Y50" s="3153" t="s">
        <v>3495</v>
      </c>
      <c r="Z50" s="3153">
        <v>3</v>
      </c>
      <c r="AA50" s="3153">
        <v>-102</v>
      </c>
      <c r="AB50" s="3153">
        <v>132.66</v>
      </c>
      <c r="AC50" s="3153">
        <f t="shared" si="3"/>
        <v>18.7</v>
      </c>
      <c r="AD50" s="3153">
        <f t="shared" si="8"/>
        <v>1406</v>
      </c>
      <c r="AF50" s="3152">
        <v>48</v>
      </c>
      <c r="AG50" s="3156" t="s">
        <v>3491</v>
      </c>
      <c r="AH50" s="3156" t="s">
        <v>3392</v>
      </c>
      <c r="AI50" s="3153">
        <v>1048</v>
      </c>
      <c r="AJ50" s="3153">
        <v>47.92</v>
      </c>
      <c r="AK50" s="3153">
        <f t="shared" si="4"/>
        <v>6.39</v>
      </c>
      <c r="AL50" s="3153">
        <f t="shared" si="9"/>
        <v>1333</v>
      </c>
    </row>
    <row r="51" spans="1:38" ht="14.25" thickBot="1">
      <c r="A51" s="3152">
        <v>49</v>
      </c>
      <c r="B51" s="3153" t="s">
        <v>3424</v>
      </c>
      <c r="C51" s="3153">
        <v>4</v>
      </c>
      <c r="D51" s="3153">
        <v>501</v>
      </c>
      <c r="E51" s="3153">
        <v>180.43</v>
      </c>
      <c r="F51" s="3153">
        <f t="shared" si="0"/>
        <v>627.1</v>
      </c>
      <c r="G51" s="3153">
        <f t="shared" si="5"/>
        <v>34756</v>
      </c>
      <c r="P51" s="3152">
        <v>49</v>
      </c>
      <c r="Q51" s="3153" t="s">
        <v>3504</v>
      </c>
      <c r="R51" s="3153">
        <v>2</v>
      </c>
      <c r="S51" s="3153">
        <v>102</v>
      </c>
      <c r="T51" s="3153">
        <v>335.74</v>
      </c>
      <c r="U51" s="3153">
        <f t="shared" si="2"/>
        <v>1212.5</v>
      </c>
      <c r="V51" s="3153">
        <f t="shared" si="7"/>
        <v>36115</v>
      </c>
      <c r="X51" s="3154">
        <v>49</v>
      </c>
      <c r="Y51" s="3153" t="s">
        <v>3496</v>
      </c>
      <c r="Z51" s="3153">
        <v>1</v>
      </c>
      <c r="AA51" s="3153">
        <v>-101</v>
      </c>
      <c r="AB51" s="3153">
        <v>95.87</v>
      </c>
      <c r="AC51" s="3153">
        <f t="shared" si="3"/>
        <v>13.5</v>
      </c>
      <c r="AD51" s="3153">
        <f t="shared" si="8"/>
        <v>1406</v>
      </c>
      <c r="AF51" s="3152">
        <v>49</v>
      </c>
      <c r="AG51" s="3156" t="s">
        <v>3491</v>
      </c>
      <c r="AH51" s="3156" t="s">
        <v>3392</v>
      </c>
      <c r="AI51" s="3153">
        <v>1049</v>
      </c>
      <c r="AJ51" s="3153">
        <v>47.92</v>
      </c>
      <c r="AK51" s="3153">
        <f t="shared" si="4"/>
        <v>6.39</v>
      </c>
      <c r="AL51" s="3153">
        <f t="shared" si="9"/>
        <v>1333</v>
      </c>
    </row>
    <row r="52" spans="1:38" ht="14.25" thickBot="1">
      <c r="A52" s="3152">
        <v>50</v>
      </c>
      <c r="B52" s="3153" t="s">
        <v>3425</v>
      </c>
      <c r="C52" s="3153">
        <v>1</v>
      </c>
      <c r="D52" s="3153">
        <v>101</v>
      </c>
      <c r="E52" s="3153">
        <v>193.85</v>
      </c>
      <c r="F52" s="3153">
        <f t="shared" si="0"/>
        <v>673.7</v>
      </c>
      <c r="G52" s="3153">
        <f t="shared" si="5"/>
        <v>34756</v>
      </c>
      <c r="P52" s="3152">
        <v>50</v>
      </c>
      <c r="Q52" s="3153" t="s">
        <v>3505</v>
      </c>
      <c r="R52" s="3153">
        <v>1</v>
      </c>
      <c r="S52" s="3153">
        <v>101</v>
      </c>
      <c r="T52" s="3153">
        <v>303.67</v>
      </c>
      <c r="U52" s="3153">
        <f t="shared" si="2"/>
        <v>1096.7</v>
      </c>
      <c r="V52" s="3153">
        <f t="shared" si="7"/>
        <v>36115</v>
      </c>
      <c r="X52" s="3154">
        <v>50</v>
      </c>
      <c r="Y52" s="3153" t="s">
        <v>3496</v>
      </c>
      <c r="Z52" s="3153">
        <v>1</v>
      </c>
      <c r="AA52" s="3153">
        <v>-102</v>
      </c>
      <c r="AB52" s="3153">
        <v>95.87</v>
      </c>
      <c r="AC52" s="3153">
        <f t="shared" si="3"/>
        <v>13.5</v>
      </c>
      <c r="AD52" s="3153">
        <f t="shared" si="8"/>
        <v>1406</v>
      </c>
      <c r="AF52" s="3152">
        <v>50</v>
      </c>
      <c r="AG52" s="3156" t="s">
        <v>3491</v>
      </c>
      <c r="AH52" s="3156" t="s">
        <v>3392</v>
      </c>
      <c r="AI52" s="3153">
        <v>1050</v>
      </c>
      <c r="AJ52" s="3153">
        <v>47.92</v>
      </c>
      <c r="AK52" s="3153">
        <f t="shared" si="4"/>
        <v>6.39</v>
      </c>
      <c r="AL52" s="3153">
        <f t="shared" si="9"/>
        <v>1333</v>
      </c>
    </row>
    <row r="53" spans="1:38" ht="14.25" thickBot="1">
      <c r="A53" s="3152">
        <v>51</v>
      </c>
      <c r="B53" s="3153" t="s">
        <v>3425</v>
      </c>
      <c r="C53" s="3153">
        <v>1</v>
      </c>
      <c r="D53" s="3153">
        <v>102</v>
      </c>
      <c r="E53" s="3153">
        <v>177.61</v>
      </c>
      <c r="F53" s="3153">
        <f t="shared" si="0"/>
        <v>617.29999999999995</v>
      </c>
      <c r="G53" s="3153">
        <f t="shared" si="5"/>
        <v>34756</v>
      </c>
      <c r="P53" s="3152">
        <v>51</v>
      </c>
      <c r="Q53" s="3153" t="s">
        <v>3505</v>
      </c>
      <c r="R53" s="3153">
        <v>1</v>
      </c>
      <c r="S53" s="3153">
        <v>102</v>
      </c>
      <c r="T53" s="3153">
        <v>303.67</v>
      </c>
      <c r="U53" s="3153">
        <f t="shared" si="2"/>
        <v>1096.7</v>
      </c>
      <c r="V53" s="3153">
        <f t="shared" si="7"/>
        <v>36115</v>
      </c>
      <c r="X53" s="3154">
        <v>51</v>
      </c>
      <c r="Y53" s="3153" t="s">
        <v>3496</v>
      </c>
      <c r="Z53" s="3153">
        <v>2</v>
      </c>
      <c r="AA53" s="3153">
        <v>-101</v>
      </c>
      <c r="AB53" s="3153">
        <v>97.02</v>
      </c>
      <c r="AC53" s="3153">
        <f t="shared" si="3"/>
        <v>13.6</v>
      </c>
      <c r="AD53" s="3153">
        <f t="shared" si="8"/>
        <v>1406</v>
      </c>
      <c r="AF53" s="3152">
        <v>51</v>
      </c>
      <c r="AG53" s="3156" t="s">
        <v>3491</v>
      </c>
      <c r="AH53" s="3156" t="s">
        <v>3392</v>
      </c>
      <c r="AI53" s="3153">
        <v>1051</v>
      </c>
      <c r="AJ53" s="3153">
        <v>47.92</v>
      </c>
      <c r="AK53" s="3153">
        <f t="shared" si="4"/>
        <v>6.39</v>
      </c>
      <c r="AL53" s="3153">
        <f t="shared" si="9"/>
        <v>1333</v>
      </c>
    </row>
    <row r="54" spans="1:38" ht="14.25" thickBot="1">
      <c r="A54" s="3152">
        <v>52</v>
      </c>
      <c r="B54" s="3153" t="s">
        <v>3425</v>
      </c>
      <c r="C54" s="3153">
        <v>1</v>
      </c>
      <c r="D54" s="3153">
        <v>301</v>
      </c>
      <c r="E54" s="3153">
        <v>193.85</v>
      </c>
      <c r="F54" s="3153">
        <f t="shared" si="0"/>
        <v>673.7</v>
      </c>
      <c r="G54" s="3153">
        <f t="shared" si="5"/>
        <v>34756</v>
      </c>
      <c r="P54" s="3152">
        <v>52</v>
      </c>
      <c r="Q54" s="3153" t="s">
        <v>3505</v>
      </c>
      <c r="R54" s="3153">
        <v>2</v>
      </c>
      <c r="S54" s="3153">
        <v>101</v>
      </c>
      <c r="T54" s="3153">
        <v>335.74</v>
      </c>
      <c r="U54" s="3153">
        <f t="shared" si="2"/>
        <v>1212.5</v>
      </c>
      <c r="V54" s="3153">
        <f t="shared" si="7"/>
        <v>36115</v>
      </c>
      <c r="X54" s="3154">
        <v>52</v>
      </c>
      <c r="Y54" s="3153" t="s">
        <v>3496</v>
      </c>
      <c r="Z54" s="3153">
        <v>2</v>
      </c>
      <c r="AA54" s="3153">
        <v>-102</v>
      </c>
      <c r="AB54" s="3153">
        <v>97.02</v>
      </c>
      <c r="AC54" s="3153">
        <f t="shared" si="3"/>
        <v>13.6</v>
      </c>
      <c r="AD54" s="3153">
        <f t="shared" si="8"/>
        <v>1406</v>
      </c>
      <c r="AF54" s="3152">
        <v>52</v>
      </c>
      <c r="AG54" s="3156" t="s">
        <v>3491</v>
      </c>
      <c r="AH54" s="3156" t="s">
        <v>3392</v>
      </c>
      <c r="AI54" s="3153">
        <v>1052</v>
      </c>
      <c r="AJ54" s="3153">
        <v>47.92</v>
      </c>
      <c r="AK54" s="3153">
        <f t="shared" si="4"/>
        <v>6.39</v>
      </c>
      <c r="AL54" s="3153">
        <f t="shared" si="9"/>
        <v>1333</v>
      </c>
    </row>
    <row r="55" spans="1:38" ht="14.25" thickBot="1">
      <c r="A55" s="3152">
        <v>53</v>
      </c>
      <c r="B55" s="3153" t="s">
        <v>3425</v>
      </c>
      <c r="C55" s="3153">
        <v>1</v>
      </c>
      <c r="D55" s="3153">
        <v>302</v>
      </c>
      <c r="E55" s="3153">
        <v>177.61</v>
      </c>
      <c r="F55" s="3153">
        <f t="shared" si="0"/>
        <v>617.29999999999995</v>
      </c>
      <c r="G55" s="3153">
        <f t="shared" si="5"/>
        <v>34756</v>
      </c>
      <c r="P55" s="3152">
        <v>53</v>
      </c>
      <c r="Q55" s="3153" t="s">
        <v>3505</v>
      </c>
      <c r="R55" s="3153">
        <v>2</v>
      </c>
      <c r="S55" s="3153">
        <v>102</v>
      </c>
      <c r="T55" s="3153">
        <v>335.74</v>
      </c>
      <c r="U55" s="3153">
        <f t="shared" si="2"/>
        <v>1212.5</v>
      </c>
      <c r="V55" s="3153">
        <f t="shared" si="7"/>
        <v>36115</v>
      </c>
      <c r="X55" s="3154">
        <v>53</v>
      </c>
      <c r="Y55" s="3153" t="s">
        <v>3496</v>
      </c>
      <c r="Z55" s="3153">
        <v>3</v>
      </c>
      <c r="AA55" s="3153">
        <v>-101</v>
      </c>
      <c r="AB55" s="3153">
        <v>132.66</v>
      </c>
      <c r="AC55" s="3153">
        <f t="shared" si="3"/>
        <v>18.7</v>
      </c>
      <c r="AD55" s="3153">
        <f t="shared" si="8"/>
        <v>1406</v>
      </c>
      <c r="AF55" s="3152">
        <v>53</v>
      </c>
      <c r="AG55" s="3156" t="s">
        <v>3491</v>
      </c>
      <c r="AH55" s="3156" t="s">
        <v>3392</v>
      </c>
      <c r="AI55" s="3153">
        <v>1053</v>
      </c>
      <c r="AJ55" s="3153">
        <v>47.92</v>
      </c>
      <c r="AK55" s="3153">
        <f t="shared" si="4"/>
        <v>6.39</v>
      </c>
      <c r="AL55" s="3153">
        <f t="shared" si="9"/>
        <v>1333</v>
      </c>
    </row>
    <row r="56" spans="1:38" ht="14.25" thickBot="1">
      <c r="A56" s="3152">
        <v>54</v>
      </c>
      <c r="B56" s="3153" t="s">
        <v>3425</v>
      </c>
      <c r="C56" s="3153">
        <v>1</v>
      </c>
      <c r="D56" s="3153">
        <v>501</v>
      </c>
      <c r="E56" s="3153">
        <v>178.3</v>
      </c>
      <c r="F56" s="3153">
        <f t="shared" si="0"/>
        <v>619.70000000000005</v>
      </c>
      <c r="G56" s="3153">
        <f t="shared" si="5"/>
        <v>34756</v>
      </c>
      <c r="P56" s="3152">
        <v>54</v>
      </c>
      <c r="Q56" s="3153" t="s">
        <v>3506</v>
      </c>
      <c r="R56" s="3153">
        <v>1</v>
      </c>
      <c r="S56" s="3153">
        <v>101</v>
      </c>
      <c r="T56" s="3153">
        <v>319.99</v>
      </c>
      <c r="U56" s="3153">
        <f t="shared" si="2"/>
        <v>1155.5999999999999</v>
      </c>
      <c r="V56" s="3153">
        <f t="shared" si="7"/>
        <v>36115</v>
      </c>
      <c r="X56" s="3154">
        <v>54</v>
      </c>
      <c r="Y56" s="3153" t="s">
        <v>3496</v>
      </c>
      <c r="Z56" s="3153">
        <v>3</v>
      </c>
      <c r="AA56" s="3153">
        <v>-102</v>
      </c>
      <c r="AB56" s="3153">
        <v>132.66</v>
      </c>
      <c r="AC56" s="3153">
        <f t="shared" si="3"/>
        <v>18.7</v>
      </c>
      <c r="AD56" s="3153">
        <f t="shared" si="8"/>
        <v>1406</v>
      </c>
      <c r="AF56" s="3152">
        <v>54</v>
      </c>
      <c r="AG56" s="3156" t="s">
        <v>3491</v>
      </c>
      <c r="AH56" s="3156" t="s">
        <v>3392</v>
      </c>
      <c r="AI56" s="3153">
        <v>1054</v>
      </c>
      <c r="AJ56" s="3153">
        <v>47.92</v>
      </c>
      <c r="AK56" s="3153">
        <f t="shared" si="4"/>
        <v>6.39</v>
      </c>
      <c r="AL56" s="3153">
        <f t="shared" si="9"/>
        <v>1333</v>
      </c>
    </row>
    <row r="57" spans="1:38" ht="14.25" thickBot="1">
      <c r="A57" s="3152">
        <v>55</v>
      </c>
      <c r="B57" s="3153" t="s">
        <v>3425</v>
      </c>
      <c r="C57" s="3153">
        <v>2</v>
      </c>
      <c r="D57" s="3153">
        <v>101</v>
      </c>
      <c r="E57" s="3153">
        <v>177.61</v>
      </c>
      <c r="F57" s="3153">
        <f t="shared" si="0"/>
        <v>617.29999999999995</v>
      </c>
      <c r="G57" s="3153">
        <f t="shared" si="5"/>
        <v>34756</v>
      </c>
      <c r="P57" s="3152">
        <v>55</v>
      </c>
      <c r="Q57" s="3153" t="s">
        <v>3506</v>
      </c>
      <c r="R57" s="3153">
        <v>1</v>
      </c>
      <c r="S57" s="3153">
        <v>102</v>
      </c>
      <c r="T57" s="3153">
        <v>319.55</v>
      </c>
      <c r="U57" s="3153">
        <f t="shared" si="2"/>
        <v>1154.0999999999999</v>
      </c>
      <c r="V57" s="3153">
        <f t="shared" si="7"/>
        <v>36115</v>
      </c>
      <c r="X57" s="3154">
        <v>55</v>
      </c>
      <c r="Y57" s="3153" t="s">
        <v>3497</v>
      </c>
      <c r="Z57" s="3153">
        <v>1</v>
      </c>
      <c r="AA57" s="3153">
        <v>-101</v>
      </c>
      <c r="AB57" s="3153">
        <v>94.57</v>
      </c>
      <c r="AC57" s="3153">
        <f t="shared" si="3"/>
        <v>13.3</v>
      </c>
      <c r="AD57" s="3153">
        <f t="shared" si="8"/>
        <v>1406</v>
      </c>
      <c r="AF57" s="3152">
        <v>55</v>
      </c>
      <c r="AG57" s="3156" t="s">
        <v>3491</v>
      </c>
      <c r="AH57" s="3156" t="s">
        <v>3392</v>
      </c>
      <c r="AI57" s="3153">
        <v>1055</v>
      </c>
      <c r="AJ57" s="3153">
        <v>44.93</v>
      </c>
      <c r="AK57" s="3153">
        <f t="shared" si="4"/>
        <v>5.99</v>
      </c>
      <c r="AL57" s="3153">
        <f t="shared" si="9"/>
        <v>1333</v>
      </c>
    </row>
    <row r="58" spans="1:38" ht="14.25" thickBot="1">
      <c r="A58" s="3152">
        <v>56</v>
      </c>
      <c r="B58" s="3153" t="s">
        <v>3425</v>
      </c>
      <c r="C58" s="3153">
        <v>2</v>
      </c>
      <c r="D58" s="3153">
        <v>102</v>
      </c>
      <c r="E58" s="3153">
        <v>177.61</v>
      </c>
      <c r="F58" s="3153">
        <f t="shared" si="0"/>
        <v>617.29999999999995</v>
      </c>
      <c r="G58" s="3153">
        <f t="shared" si="5"/>
        <v>34756</v>
      </c>
      <c r="P58" s="3152">
        <v>56</v>
      </c>
      <c r="Q58" s="3153" t="s">
        <v>3506</v>
      </c>
      <c r="R58" s="3153">
        <v>2</v>
      </c>
      <c r="S58" s="3153">
        <v>101</v>
      </c>
      <c r="T58" s="3153">
        <v>321.66000000000003</v>
      </c>
      <c r="U58" s="3153">
        <f t="shared" si="2"/>
        <v>1161.7</v>
      </c>
      <c r="V58" s="3153">
        <f t="shared" si="7"/>
        <v>36115</v>
      </c>
      <c r="X58" s="3154">
        <v>56</v>
      </c>
      <c r="Y58" s="3153" t="s">
        <v>3497</v>
      </c>
      <c r="Z58" s="3153">
        <v>1</v>
      </c>
      <c r="AA58" s="3153">
        <v>-102</v>
      </c>
      <c r="AB58" s="3153">
        <v>94.57</v>
      </c>
      <c r="AC58" s="3153">
        <f t="shared" si="3"/>
        <v>13.3</v>
      </c>
      <c r="AD58" s="3153">
        <f t="shared" si="8"/>
        <v>1406</v>
      </c>
      <c r="AF58" s="3152">
        <v>56</v>
      </c>
      <c r="AG58" s="3156" t="s">
        <v>3491</v>
      </c>
      <c r="AH58" s="3156" t="s">
        <v>3392</v>
      </c>
      <c r="AI58" s="3153">
        <v>1056</v>
      </c>
      <c r="AJ58" s="3153">
        <v>47.92</v>
      </c>
      <c r="AK58" s="3153">
        <f t="shared" si="4"/>
        <v>6.39</v>
      </c>
      <c r="AL58" s="3153">
        <f t="shared" si="9"/>
        <v>1333</v>
      </c>
    </row>
    <row r="59" spans="1:38" ht="14.25" thickBot="1">
      <c r="A59" s="3152">
        <v>57</v>
      </c>
      <c r="B59" s="3153" t="s">
        <v>3425</v>
      </c>
      <c r="C59" s="3153">
        <v>2</v>
      </c>
      <c r="D59" s="3153">
        <v>301</v>
      </c>
      <c r="E59" s="3153">
        <v>177.61</v>
      </c>
      <c r="F59" s="3153">
        <f t="shared" si="0"/>
        <v>617.29999999999995</v>
      </c>
      <c r="G59" s="3153">
        <f t="shared" si="5"/>
        <v>34756</v>
      </c>
      <c r="P59" s="3152">
        <v>57</v>
      </c>
      <c r="Q59" s="3153" t="s">
        <v>3507</v>
      </c>
      <c r="R59" s="3153">
        <v>1</v>
      </c>
      <c r="S59" s="3153">
        <v>101</v>
      </c>
      <c r="T59" s="3153">
        <v>303.64999999999998</v>
      </c>
      <c r="U59" s="3153">
        <f t="shared" si="2"/>
        <v>1096.5999999999999</v>
      </c>
      <c r="V59" s="3153">
        <f t="shared" si="7"/>
        <v>36115</v>
      </c>
      <c r="X59" s="3154">
        <v>57</v>
      </c>
      <c r="Y59" s="3153" t="s">
        <v>3497</v>
      </c>
      <c r="Z59" s="3153">
        <v>2</v>
      </c>
      <c r="AA59" s="3153">
        <v>-101</v>
      </c>
      <c r="AB59" s="3153">
        <v>132.34</v>
      </c>
      <c r="AC59" s="3153">
        <f t="shared" si="3"/>
        <v>18.600000000000001</v>
      </c>
      <c r="AD59" s="3153">
        <f t="shared" si="8"/>
        <v>1406</v>
      </c>
      <c r="AF59" s="3152">
        <v>57</v>
      </c>
      <c r="AG59" s="3156" t="s">
        <v>3491</v>
      </c>
      <c r="AH59" s="3156" t="s">
        <v>3392</v>
      </c>
      <c r="AI59" s="3153">
        <v>1057</v>
      </c>
      <c r="AJ59" s="3153">
        <v>47.92</v>
      </c>
      <c r="AK59" s="3153">
        <f t="shared" si="4"/>
        <v>6.39</v>
      </c>
      <c r="AL59" s="3153">
        <f t="shared" si="9"/>
        <v>1333</v>
      </c>
    </row>
    <row r="60" spans="1:38" ht="14.25" thickBot="1">
      <c r="A60" s="3152">
        <v>58</v>
      </c>
      <c r="B60" s="3153" t="s">
        <v>3425</v>
      </c>
      <c r="C60" s="3153">
        <v>2</v>
      </c>
      <c r="D60" s="3153">
        <v>302</v>
      </c>
      <c r="E60" s="3153">
        <v>177.61</v>
      </c>
      <c r="F60" s="3153">
        <f t="shared" si="0"/>
        <v>617.29999999999995</v>
      </c>
      <c r="G60" s="3153">
        <f t="shared" si="5"/>
        <v>34756</v>
      </c>
      <c r="P60" s="3152">
        <v>58</v>
      </c>
      <c r="Q60" s="3153" t="s">
        <v>3507</v>
      </c>
      <c r="R60" s="3153">
        <v>1</v>
      </c>
      <c r="S60" s="3153">
        <v>102</v>
      </c>
      <c r="T60" s="3153">
        <v>303.64999999999998</v>
      </c>
      <c r="U60" s="3153">
        <f t="shared" si="2"/>
        <v>1096.5999999999999</v>
      </c>
      <c r="V60" s="3153">
        <f t="shared" si="7"/>
        <v>36115</v>
      </c>
      <c r="X60" s="3154">
        <v>58</v>
      </c>
      <c r="Y60" s="3153" t="s">
        <v>3497</v>
      </c>
      <c r="Z60" s="3153">
        <v>2</v>
      </c>
      <c r="AA60" s="3153">
        <v>-102</v>
      </c>
      <c r="AB60" s="3153">
        <v>132.34</v>
      </c>
      <c r="AC60" s="3153">
        <f t="shared" si="3"/>
        <v>18.600000000000001</v>
      </c>
      <c r="AD60" s="3153">
        <f t="shared" si="8"/>
        <v>1406</v>
      </c>
      <c r="AF60" s="3152">
        <v>58</v>
      </c>
      <c r="AG60" s="3156" t="s">
        <v>3491</v>
      </c>
      <c r="AH60" s="3156" t="s">
        <v>3392</v>
      </c>
      <c r="AI60" s="3153">
        <v>1058</v>
      </c>
      <c r="AJ60" s="3153">
        <v>47.92</v>
      </c>
      <c r="AK60" s="3153">
        <f t="shared" si="4"/>
        <v>6.39</v>
      </c>
      <c r="AL60" s="3153">
        <f t="shared" si="9"/>
        <v>1333</v>
      </c>
    </row>
    <row r="61" spans="1:38" ht="14.25" thickBot="1">
      <c r="A61" s="3152">
        <v>59</v>
      </c>
      <c r="B61" s="3153" t="s">
        <v>3425</v>
      </c>
      <c r="C61" s="3153">
        <v>2</v>
      </c>
      <c r="D61" s="3153">
        <v>501</v>
      </c>
      <c r="E61" s="3153">
        <v>170.37</v>
      </c>
      <c r="F61" s="3153">
        <f t="shared" si="0"/>
        <v>592.1</v>
      </c>
      <c r="G61" s="3153">
        <f t="shared" si="5"/>
        <v>34756</v>
      </c>
      <c r="P61" s="3152">
        <v>59</v>
      </c>
      <c r="Q61" s="3153" t="s">
        <v>3507</v>
      </c>
      <c r="R61" s="3153">
        <v>2</v>
      </c>
      <c r="S61" s="3153">
        <v>101</v>
      </c>
      <c r="T61" s="3153">
        <v>274.95999999999998</v>
      </c>
      <c r="U61" s="3153">
        <f t="shared" si="2"/>
        <v>993</v>
      </c>
      <c r="V61" s="3153">
        <f t="shared" si="7"/>
        <v>36115</v>
      </c>
      <c r="X61" s="3154">
        <v>59</v>
      </c>
      <c r="Y61" s="3153" t="s">
        <v>3507</v>
      </c>
      <c r="Z61" s="3153">
        <v>1</v>
      </c>
      <c r="AA61" s="3153">
        <v>-101</v>
      </c>
      <c r="AB61" s="3153">
        <v>95.51</v>
      </c>
      <c r="AC61" s="3153">
        <f t="shared" si="3"/>
        <v>13.4</v>
      </c>
      <c r="AD61" s="3153">
        <f t="shared" si="8"/>
        <v>1406</v>
      </c>
      <c r="AF61" s="3152">
        <v>59</v>
      </c>
      <c r="AG61" s="3156" t="s">
        <v>3491</v>
      </c>
      <c r="AH61" s="3156" t="s">
        <v>3392</v>
      </c>
      <c r="AI61" s="3153">
        <v>1059</v>
      </c>
      <c r="AJ61" s="3153">
        <v>47.92</v>
      </c>
      <c r="AK61" s="3153">
        <f t="shared" si="4"/>
        <v>6.39</v>
      </c>
      <c r="AL61" s="3153">
        <f t="shared" si="9"/>
        <v>1333</v>
      </c>
    </row>
    <row r="62" spans="1:38" ht="14.25" thickBot="1">
      <c r="A62" s="3152">
        <v>60</v>
      </c>
      <c r="B62" s="3153" t="s">
        <v>3425</v>
      </c>
      <c r="C62" s="3153">
        <v>3</v>
      </c>
      <c r="D62" s="3153">
        <v>101</v>
      </c>
      <c r="E62" s="3153">
        <v>177.61</v>
      </c>
      <c r="F62" s="3153">
        <f t="shared" si="0"/>
        <v>617.29999999999995</v>
      </c>
      <c r="G62" s="3153">
        <f t="shared" si="5"/>
        <v>34756</v>
      </c>
      <c r="P62" s="3152">
        <v>60</v>
      </c>
      <c r="Q62" s="3153" t="s">
        <v>3507</v>
      </c>
      <c r="R62" s="3153">
        <v>2</v>
      </c>
      <c r="S62" s="3153">
        <v>102</v>
      </c>
      <c r="T62" s="3153">
        <v>274.95999999999998</v>
      </c>
      <c r="U62" s="3153">
        <f t="shared" si="2"/>
        <v>993</v>
      </c>
      <c r="V62" s="3153">
        <f t="shared" si="7"/>
        <v>36115</v>
      </c>
      <c r="X62" s="3154">
        <v>60</v>
      </c>
      <c r="Y62" s="3153" t="s">
        <v>3507</v>
      </c>
      <c r="Z62" s="3153">
        <v>1</v>
      </c>
      <c r="AA62" s="3153">
        <v>-102</v>
      </c>
      <c r="AB62" s="3153">
        <v>95.51</v>
      </c>
      <c r="AC62" s="3153">
        <f t="shared" si="3"/>
        <v>13.4</v>
      </c>
      <c r="AD62" s="3153">
        <f t="shared" si="8"/>
        <v>1406</v>
      </c>
      <c r="AF62" s="3152">
        <v>60</v>
      </c>
      <c r="AG62" s="3156" t="s">
        <v>3491</v>
      </c>
      <c r="AH62" s="3156" t="s">
        <v>3392</v>
      </c>
      <c r="AI62" s="3153">
        <v>1060</v>
      </c>
      <c r="AJ62" s="3153">
        <v>47.92</v>
      </c>
      <c r="AK62" s="3153">
        <f t="shared" si="4"/>
        <v>6.39</v>
      </c>
      <c r="AL62" s="3153">
        <f t="shared" si="9"/>
        <v>1333</v>
      </c>
    </row>
    <row r="63" spans="1:38" ht="14.25" thickBot="1">
      <c r="A63" s="3152">
        <v>61</v>
      </c>
      <c r="B63" s="3153" t="s">
        <v>3425</v>
      </c>
      <c r="C63" s="3153">
        <v>3</v>
      </c>
      <c r="D63" s="3153">
        <v>102</v>
      </c>
      <c r="E63" s="3153">
        <v>177.61</v>
      </c>
      <c r="F63" s="3153">
        <f t="shared" si="0"/>
        <v>617.29999999999995</v>
      </c>
      <c r="G63" s="3153">
        <f t="shared" si="5"/>
        <v>34756</v>
      </c>
      <c r="P63" s="3152">
        <v>61</v>
      </c>
      <c r="Q63" s="3153" t="s">
        <v>3507</v>
      </c>
      <c r="R63" s="3153">
        <v>3</v>
      </c>
      <c r="S63" s="3153">
        <v>101</v>
      </c>
      <c r="T63" s="3153">
        <v>335.71</v>
      </c>
      <c r="U63" s="3153">
        <f t="shared" si="2"/>
        <v>1212.4000000000001</v>
      </c>
      <c r="V63" s="3153">
        <f t="shared" si="7"/>
        <v>36115</v>
      </c>
      <c r="X63" s="3154">
        <v>61</v>
      </c>
      <c r="Y63" s="3153" t="s">
        <v>3507</v>
      </c>
      <c r="Z63" s="3153">
        <v>2</v>
      </c>
      <c r="AA63" s="3153">
        <v>-101</v>
      </c>
      <c r="AB63" s="3153">
        <v>96.66</v>
      </c>
      <c r="AC63" s="3153">
        <f t="shared" si="3"/>
        <v>13.6</v>
      </c>
      <c r="AD63" s="3153">
        <f t="shared" si="8"/>
        <v>1406</v>
      </c>
      <c r="AF63" s="3152">
        <v>61</v>
      </c>
      <c r="AG63" s="3156" t="s">
        <v>3491</v>
      </c>
      <c r="AH63" s="3156" t="s">
        <v>3392</v>
      </c>
      <c r="AI63" s="3153">
        <v>1061</v>
      </c>
      <c r="AJ63" s="3153">
        <v>47.92</v>
      </c>
      <c r="AK63" s="3153">
        <f t="shared" si="4"/>
        <v>6.39</v>
      </c>
      <c r="AL63" s="3153">
        <f t="shared" si="9"/>
        <v>1333</v>
      </c>
    </row>
    <row r="64" spans="1:38" ht="14.25" thickBot="1">
      <c r="A64" s="3152">
        <v>62</v>
      </c>
      <c r="B64" s="3153" t="s">
        <v>3425</v>
      </c>
      <c r="C64" s="3153">
        <v>3</v>
      </c>
      <c r="D64" s="3153">
        <v>301</v>
      </c>
      <c r="E64" s="3153">
        <v>177.61</v>
      </c>
      <c r="F64" s="3153">
        <f t="shared" si="0"/>
        <v>617.29999999999995</v>
      </c>
      <c r="G64" s="3153">
        <f t="shared" si="5"/>
        <v>34756</v>
      </c>
      <c r="P64" s="3152">
        <v>62</v>
      </c>
      <c r="Q64" s="3153" t="s">
        <v>3507</v>
      </c>
      <c r="R64" s="3153">
        <v>3</v>
      </c>
      <c r="S64" s="3153">
        <v>102</v>
      </c>
      <c r="T64" s="3153">
        <v>335.71</v>
      </c>
      <c r="U64" s="3153">
        <f t="shared" si="2"/>
        <v>1212.4000000000001</v>
      </c>
      <c r="V64" s="3153">
        <f t="shared" si="7"/>
        <v>36115</v>
      </c>
      <c r="X64" s="3154">
        <v>62</v>
      </c>
      <c r="Y64" s="3153" t="s">
        <v>3507</v>
      </c>
      <c r="Z64" s="3153">
        <v>2</v>
      </c>
      <c r="AA64" s="3153">
        <v>-102</v>
      </c>
      <c r="AB64" s="3153">
        <v>96.66</v>
      </c>
      <c r="AC64" s="3153">
        <f t="shared" si="3"/>
        <v>13.6</v>
      </c>
      <c r="AD64" s="3153">
        <f t="shared" si="8"/>
        <v>1406</v>
      </c>
      <c r="AF64" s="3152">
        <v>62</v>
      </c>
      <c r="AG64" s="3156" t="s">
        <v>3491</v>
      </c>
      <c r="AH64" s="3156" t="s">
        <v>3392</v>
      </c>
      <c r="AI64" s="3153">
        <v>1062</v>
      </c>
      <c r="AJ64" s="3153">
        <v>47.92</v>
      </c>
      <c r="AK64" s="3153">
        <f t="shared" si="4"/>
        <v>6.39</v>
      </c>
      <c r="AL64" s="3153">
        <f t="shared" si="9"/>
        <v>1333</v>
      </c>
    </row>
    <row r="65" spans="1:38" ht="14.25" thickBot="1">
      <c r="A65" s="3152">
        <v>63</v>
      </c>
      <c r="B65" s="3153" t="s">
        <v>3425</v>
      </c>
      <c r="C65" s="3153">
        <v>3</v>
      </c>
      <c r="D65" s="3153">
        <v>302</v>
      </c>
      <c r="E65" s="3153">
        <v>177.61</v>
      </c>
      <c r="F65" s="3153">
        <f t="shared" si="0"/>
        <v>617.29999999999995</v>
      </c>
      <c r="G65" s="3153">
        <f t="shared" si="5"/>
        <v>34756</v>
      </c>
      <c r="P65" s="3152">
        <v>63</v>
      </c>
      <c r="Q65" s="3153" t="s">
        <v>3508</v>
      </c>
      <c r="R65" s="3153">
        <v>1</v>
      </c>
      <c r="S65" s="3153">
        <v>101</v>
      </c>
      <c r="T65" s="3153">
        <v>303.64999999999998</v>
      </c>
      <c r="U65" s="3153">
        <f t="shared" si="2"/>
        <v>1096.5999999999999</v>
      </c>
      <c r="V65" s="3153">
        <f t="shared" si="7"/>
        <v>36115</v>
      </c>
      <c r="X65" s="3154">
        <v>63</v>
      </c>
      <c r="Y65" s="3153" t="s">
        <v>3507</v>
      </c>
      <c r="Z65" s="3153">
        <v>3</v>
      </c>
      <c r="AA65" s="3153">
        <v>-101</v>
      </c>
      <c r="AB65" s="3153">
        <v>132.16999999999999</v>
      </c>
      <c r="AC65" s="3153">
        <f t="shared" si="3"/>
        <v>18.600000000000001</v>
      </c>
      <c r="AD65" s="3153">
        <f t="shared" si="8"/>
        <v>1406</v>
      </c>
      <c r="AF65" s="3152">
        <v>63</v>
      </c>
      <c r="AG65" s="3156" t="s">
        <v>3491</v>
      </c>
      <c r="AH65" s="3156" t="s">
        <v>3392</v>
      </c>
      <c r="AI65" s="3153">
        <v>1063</v>
      </c>
      <c r="AJ65" s="3153">
        <v>47.92</v>
      </c>
      <c r="AK65" s="3153">
        <f t="shared" si="4"/>
        <v>6.39</v>
      </c>
      <c r="AL65" s="3153">
        <f t="shared" si="9"/>
        <v>1333</v>
      </c>
    </row>
    <row r="66" spans="1:38" ht="14.25" thickBot="1">
      <c r="A66" s="3152">
        <v>64</v>
      </c>
      <c r="B66" s="3153" t="s">
        <v>3425</v>
      </c>
      <c r="C66" s="3153">
        <v>3</v>
      </c>
      <c r="D66" s="3153">
        <v>501</v>
      </c>
      <c r="E66" s="3153">
        <v>170.37</v>
      </c>
      <c r="F66" s="3153">
        <f t="shared" si="0"/>
        <v>592.1</v>
      </c>
      <c r="G66" s="3153">
        <f t="shared" si="5"/>
        <v>34756</v>
      </c>
      <c r="P66" s="3152">
        <v>64</v>
      </c>
      <c r="Q66" s="3153" t="s">
        <v>3508</v>
      </c>
      <c r="R66" s="3153">
        <v>1</v>
      </c>
      <c r="S66" s="3153">
        <v>102</v>
      </c>
      <c r="T66" s="3153">
        <v>303.64999999999998</v>
      </c>
      <c r="U66" s="3153">
        <f t="shared" si="2"/>
        <v>1096.5999999999999</v>
      </c>
      <c r="V66" s="3153">
        <f t="shared" si="7"/>
        <v>36115</v>
      </c>
      <c r="X66" s="3154">
        <v>64</v>
      </c>
      <c r="Y66" s="3153" t="s">
        <v>3507</v>
      </c>
      <c r="Z66" s="3153">
        <v>3</v>
      </c>
      <c r="AA66" s="3153">
        <v>-102</v>
      </c>
      <c r="AB66" s="3153">
        <v>132.16999999999999</v>
      </c>
      <c r="AC66" s="3153">
        <f t="shared" si="3"/>
        <v>18.600000000000001</v>
      </c>
      <c r="AD66" s="3153">
        <f t="shared" si="8"/>
        <v>1406</v>
      </c>
      <c r="AF66" s="3152">
        <v>64</v>
      </c>
      <c r="AG66" s="3156" t="s">
        <v>3491</v>
      </c>
      <c r="AH66" s="3156" t="s">
        <v>3392</v>
      </c>
      <c r="AI66" s="3153">
        <v>1064</v>
      </c>
      <c r="AJ66" s="3153">
        <v>47.92</v>
      </c>
      <c r="AK66" s="3153">
        <f t="shared" si="4"/>
        <v>6.39</v>
      </c>
      <c r="AL66" s="3153">
        <f t="shared" si="9"/>
        <v>1333</v>
      </c>
    </row>
    <row r="67" spans="1:38" ht="14.25" thickBot="1">
      <c r="A67" s="3152">
        <v>65</v>
      </c>
      <c r="B67" s="3153" t="s">
        <v>3425</v>
      </c>
      <c r="C67" s="3153">
        <v>4</v>
      </c>
      <c r="D67" s="3153">
        <v>101</v>
      </c>
      <c r="E67" s="3153">
        <v>177.61</v>
      </c>
      <c r="F67" s="3153">
        <f t="shared" si="0"/>
        <v>617.29999999999995</v>
      </c>
      <c r="G67" s="3153">
        <f t="shared" si="5"/>
        <v>34756</v>
      </c>
      <c r="P67" s="3152">
        <v>65</v>
      </c>
      <c r="Q67" s="3153" t="s">
        <v>3508</v>
      </c>
      <c r="R67" s="3153">
        <v>2</v>
      </c>
      <c r="S67" s="3153">
        <v>101</v>
      </c>
      <c r="T67" s="3153">
        <v>274.95999999999998</v>
      </c>
      <c r="U67" s="3153">
        <f t="shared" si="2"/>
        <v>993</v>
      </c>
      <c r="V67" s="3153">
        <f t="shared" si="7"/>
        <v>36115</v>
      </c>
      <c r="X67" s="3154">
        <v>65</v>
      </c>
      <c r="Y67" s="3153" t="s">
        <v>3508</v>
      </c>
      <c r="Z67" s="3153">
        <v>1</v>
      </c>
      <c r="AA67" s="3153">
        <v>-101</v>
      </c>
      <c r="AB67" s="3153">
        <v>95.68</v>
      </c>
      <c r="AC67" s="3153">
        <f t="shared" si="3"/>
        <v>13.5</v>
      </c>
      <c r="AD67" s="3153">
        <f t="shared" si="8"/>
        <v>1406</v>
      </c>
      <c r="AF67" s="3152">
        <v>65</v>
      </c>
      <c r="AG67" s="3156" t="s">
        <v>3491</v>
      </c>
      <c r="AH67" s="3156" t="s">
        <v>3392</v>
      </c>
      <c r="AI67" s="3153">
        <v>1065</v>
      </c>
      <c r="AJ67" s="3153">
        <v>47.92</v>
      </c>
      <c r="AK67" s="3153">
        <f t="shared" si="4"/>
        <v>6.39</v>
      </c>
      <c r="AL67" s="3153">
        <f t="shared" si="9"/>
        <v>1333</v>
      </c>
    </row>
    <row r="68" spans="1:38" ht="14.25" thickBot="1">
      <c r="A68" s="3152">
        <v>66</v>
      </c>
      <c r="B68" s="3153" t="s">
        <v>3425</v>
      </c>
      <c r="C68" s="3153">
        <v>4</v>
      </c>
      <c r="D68" s="3153">
        <v>102</v>
      </c>
      <c r="E68" s="3153">
        <v>193.85</v>
      </c>
      <c r="F68" s="3153">
        <f t="shared" ref="F68:F131" si="10">ROUND(G68*E68/10000,1)</f>
        <v>673.7</v>
      </c>
      <c r="G68" s="3153">
        <f t="shared" si="5"/>
        <v>34756</v>
      </c>
      <c r="P68" s="3152">
        <v>66</v>
      </c>
      <c r="Q68" s="3153" t="s">
        <v>3508</v>
      </c>
      <c r="R68" s="3153">
        <v>2</v>
      </c>
      <c r="S68" s="3153">
        <v>102</v>
      </c>
      <c r="T68" s="3153">
        <v>274.95999999999998</v>
      </c>
      <c r="U68" s="3153">
        <f t="shared" ref="U68:U87" si="11">ROUND(V68*T68/10000,1)</f>
        <v>993</v>
      </c>
      <c r="V68" s="3153">
        <f t="shared" si="7"/>
        <v>36115</v>
      </c>
      <c r="X68" s="3154">
        <v>66</v>
      </c>
      <c r="Y68" s="3153" t="s">
        <v>3508</v>
      </c>
      <c r="Z68" s="3153">
        <v>1</v>
      </c>
      <c r="AA68" s="3153">
        <v>-102</v>
      </c>
      <c r="AB68" s="3153">
        <v>95.68</v>
      </c>
      <c r="AC68" s="3153">
        <f t="shared" ref="AC68:AC87" si="12">ROUND(AD68*AB68/10000,1)</f>
        <v>13.5</v>
      </c>
      <c r="AD68" s="3153">
        <f t="shared" si="8"/>
        <v>1406</v>
      </c>
      <c r="AF68" s="3152">
        <v>66</v>
      </c>
      <c r="AG68" s="3156" t="s">
        <v>3491</v>
      </c>
      <c r="AH68" s="3156" t="s">
        <v>3392</v>
      </c>
      <c r="AI68" s="3153">
        <v>1066</v>
      </c>
      <c r="AJ68" s="3153">
        <v>47.92</v>
      </c>
      <c r="AK68" s="3153">
        <f t="shared" ref="AK68:AK131" si="13">ROUND(AL68*AJ68/10000,2)</f>
        <v>6.39</v>
      </c>
      <c r="AL68" s="3153">
        <f t="shared" si="9"/>
        <v>1333</v>
      </c>
    </row>
    <row r="69" spans="1:38" ht="14.25" thickBot="1">
      <c r="A69" s="3152">
        <v>67</v>
      </c>
      <c r="B69" s="3153" t="s">
        <v>3425</v>
      </c>
      <c r="C69" s="3153">
        <v>4</v>
      </c>
      <c r="D69" s="3153">
        <v>301</v>
      </c>
      <c r="E69" s="3153">
        <v>177.61</v>
      </c>
      <c r="F69" s="3153">
        <f t="shared" si="10"/>
        <v>617.29999999999995</v>
      </c>
      <c r="G69" s="3153">
        <f t="shared" ref="G69:G132" si="14">G68</f>
        <v>34756</v>
      </c>
      <c r="P69" s="3152">
        <v>67</v>
      </c>
      <c r="Q69" s="3153" t="s">
        <v>3508</v>
      </c>
      <c r="R69" s="3153">
        <v>3</v>
      </c>
      <c r="S69" s="3153">
        <v>101</v>
      </c>
      <c r="T69" s="3153">
        <v>335.71</v>
      </c>
      <c r="U69" s="3153">
        <f t="shared" si="11"/>
        <v>1212.4000000000001</v>
      </c>
      <c r="V69" s="3153">
        <f t="shared" ref="V69:V87" si="15">V68</f>
        <v>36115</v>
      </c>
      <c r="X69" s="3154">
        <v>67</v>
      </c>
      <c r="Y69" s="3153" t="s">
        <v>3508</v>
      </c>
      <c r="Z69" s="3153">
        <v>2</v>
      </c>
      <c r="AA69" s="3153">
        <v>-101</v>
      </c>
      <c r="AB69" s="3153">
        <v>96.82</v>
      </c>
      <c r="AC69" s="3153">
        <f t="shared" si="12"/>
        <v>13.6</v>
      </c>
      <c r="AD69" s="3153">
        <f t="shared" ref="AD69:AD88" si="16">AD68</f>
        <v>1406</v>
      </c>
      <c r="AF69" s="3152">
        <v>67</v>
      </c>
      <c r="AG69" s="3156" t="s">
        <v>3491</v>
      </c>
      <c r="AH69" s="3156" t="s">
        <v>3392</v>
      </c>
      <c r="AI69" s="3153">
        <v>1067</v>
      </c>
      <c r="AJ69" s="3153">
        <v>47.92</v>
      </c>
      <c r="AK69" s="3153">
        <f t="shared" si="13"/>
        <v>6.39</v>
      </c>
      <c r="AL69" s="3153">
        <f t="shared" ref="AL69:AL132" si="17">AL68</f>
        <v>1333</v>
      </c>
    </row>
    <row r="70" spans="1:38" ht="14.25" thickBot="1">
      <c r="A70" s="3152">
        <v>68</v>
      </c>
      <c r="B70" s="3153" t="s">
        <v>3425</v>
      </c>
      <c r="C70" s="3153">
        <v>4</v>
      </c>
      <c r="D70" s="3153">
        <v>302</v>
      </c>
      <c r="E70" s="3153">
        <v>193.85</v>
      </c>
      <c r="F70" s="3153">
        <f t="shared" si="10"/>
        <v>673.7</v>
      </c>
      <c r="G70" s="3153">
        <f t="shared" si="14"/>
        <v>34756</v>
      </c>
      <c r="P70" s="3152">
        <v>68</v>
      </c>
      <c r="Q70" s="3153" t="s">
        <v>3508</v>
      </c>
      <c r="R70" s="3153">
        <v>3</v>
      </c>
      <c r="S70" s="3153">
        <v>102</v>
      </c>
      <c r="T70" s="3153">
        <v>335.71</v>
      </c>
      <c r="U70" s="3153">
        <f t="shared" si="11"/>
        <v>1212.4000000000001</v>
      </c>
      <c r="V70" s="3153">
        <f t="shared" si="15"/>
        <v>36115</v>
      </c>
      <c r="X70" s="3154">
        <v>68</v>
      </c>
      <c r="Y70" s="3153" t="s">
        <v>3508</v>
      </c>
      <c r="Z70" s="3153">
        <v>2</v>
      </c>
      <c r="AA70" s="3153">
        <v>-102</v>
      </c>
      <c r="AB70" s="3153">
        <v>96.82</v>
      </c>
      <c r="AC70" s="3153">
        <f t="shared" si="12"/>
        <v>13.6</v>
      </c>
      <c r="AD70" s="3153">
        <f t="shared" si="16"/>
        <v>1406</v>
      </c>
      <c r="AF70" s="3152">
        <v>68</v>
      </c>
      <c r="AG70" s="3156" t="s">
        <v>3491</v>
      </c>
      <c r="AH70" s="3156" t="s">
        <v>3392</v>
      </c>
      <c r="AI70" s="3153">
        <v>1068</v>
      </c>
      <c r="AJ70" s="3153">
        <v>44.93</v>
      </c>
      <c r="AK70" s="3153">
        <f t="shared" si="13"/>
        <v>5.99</v>
      </c>
      <c r="AL70" s="3153">
        <f t="shared" si="17"/>
        <v>1333</v>
      </c>
    </row>
    <row r="71" spans="1:38" ht="14.25" thickBot="1">
      <c r="A71" s="3152">
        <v>69</v>
      </c>
      <c r="B71" s="3153" t="s">
        <v>3425</v>
      </c>
      <c r="C71" s="3153">
        <v>4</v>
      </c>
      <c r="D71" s="3153">
        <v>501</v>
      </c>
      <c r="E71" s="3153">
        <v>178.3</v>
      </c>
      <c r="F71" s="3153">
        <f t="shared" si="10"/>
        <v>619.70000000000005</v>
      </c>
      <c r="G71" s="3153">
        <f t="shared" si="14"/>
        <v>34756</v>
      </c>
      <c r="P71" s="3152">
        <v>69</v>
      </c>
      <c r="Q71" s="3153" t="s">
        <v>3509</v>
      </c>
      <c r="R71" s="3153">
        <v>1</v>
      </c>
      <c r="S71" s="3153">
        <v>101</v>
      </c>
      <c r="T71" s="3153">
        <v>303.64999999999998</v>
      </c>
      <c r="U71" s="3153">
        <f t="shared" si="11"/>
        <v>1096.5999999999999</v>
      </c>
      <c r="V71" s="3153">
        <f t="shared" si="15"/>
        <v>36115</v>
      </c>
      <c r="X71" s="3154">
        <v>69</v>
      </c>
      <c r="Y71" s="3153" t="s">
        <v>3508</v>
      </c>
      <c r="Z71" s="3153">
        <v>3</v>
      </c>
      <c r="AA71" s="3153">
        <v>-101</v>
      </c>
      <c r="AB71" s="3153">
        <v>132.38999999999999</v>
      </c>
      <c r="AC71" s="3153">
        <f t="shared" si="12"/>
        <v>18.600000000000001</v>
      </c>
      <c r="AD71" s="3153">
        <f t="shared" si="16"/>
        <v>1406</v>
      </c>
      <c r="AF71" s="3152">
        <v>69</v>
      </c>
      <c r="AG71" s="3156" t="s">
        <v>3491</v>
      </c>
      <c r="AH71" s="3156" t="s">
        <v>3392</v>
      </c>
      <c r="AI71" s="3153">
        <v>1069</v>
      </c>
      <c r="AJ71" s="3153">
        <v>44.93</v>
      </c>
      <c r="AK71" s="3153">
        <f t="shared" si="13"/>
        <v>5.99</v>
      </c>
      <c r="AL71" s="3153">
        <f t="shared" si="17"/>
        <v>1333</v>
      </c>
    </row>
    <row r="72" spans="1:38" ht="14.25" thickBot="1">
      <c r="A72" s="3152">
        <v>70</v>
      </c>
      <c r="B72" s="3153" t="s">
        <v>3426</v>
      </c>
      <c r="C72" s="3153">
        <v>1</v>
      </c>
      <c r="D72" s="3153">
        <v>101</v>
      </c>
      <c r="E72" s="3153">
        <v>193.85</v>
      </c>
      <c r="F72" s="3153">
        <f t="shared" si="10"/>
        <v>673.7</v>
      </c>
      <c r="G72" s="3153">
        <f t="shared" si="14"/>
        <v>34756</v>
      </c>
      <c r="P72" s="3152">
        <v>70</v>
      </c>
      <c r="Q72" s="3153" t="s">
        <v>3509</v>
      </c>
      <c r="R72" s="3153">
        <v>1</v>
      </c>
      <c r="S72" s="3153">
        <v>102</v>
      </c>
      <c r="T72" s="3153">
        <v>303.64999999999998</v>
      </c>
      <c r="U72" s="3153">
        <f t="shared" si="11"/>
        <v>1096.5999999999999</v>
      </c>
      <c r="V72" s="3153">
        <f t="shared" si="15"/>
        <v>36115</v>
      </c>
      <c r="X72" s="3154">
        <v>70</v>
      </c>
      <c r="Y72" s="3153" t="s">
        <v>3508</v>
      </c>
      <c r="Z72" s="3153">
        <v>3</v>
      </c>
      <c r="AA72" s="3153">
        <v>-102</v>
      </c>
      <c r="AB72" s="3153">
        <v>132.38999999999999</v>
      </c>
      <c r="AC72" s="3153">
        <f t="shared" si="12"/>
        <v>18.600000000000001</v>
      </c>
      <c r="AD72" s="3153">
        <f t="shared" si="16"/>
        <v>1406</v>
      </c>
      <c r="AF72" s="3152">
        <v>70</v>
      </c>
      <c r="AG72" s="3156" t="s">
        <v>3491</v>
      </c>
      <c r="AH72" s="3156" t="s">
        <v>3392</v>
      </c>
      <c r="AI72" s="3153">
        <v>1070</v>
      </c>
      <c r="AJ72" s="3153">
        <v>47.92</v>
      </c>
      <c r="AK72" s="3153">
        <f t="shared" si="13"/>
        <v>6.39</v>
      </c>
      <c r="AL72" s="3153">
        <f t="shared" si="17"/>
        <v>1333</v>
      </c>
    </row>
    <row r="73" spans="1:38" ht="14.25" thickBot="1">
      <c r="A73" s="3152">
        <v>71</v>
      </c>
      <c r="B73" s="3153" t="s">
        <v>3426</v>
      </c>
      <c r="C73" s="3153">
        <v>1</v>
      </c>
      <c r="D73" s="3153">
        <v>102</v>
      </c>
      <c r="E73" s="3153">
        <v>177.61</v>
      </c>
      <c r="F73" s="3153">
        <f t="shared" si="10"/>
        <v>617.29999999999995</v>
      </c>
      <c r="G73" s="3153">
        <f t="shared" si="14"/>
        <v>34756</v>
      </c>
      <c r="P73" s="3152">
        <v>71</v>
      </c>
      <c r="Q73" s="3153" t="s">
        <v>3509</v>
      </c>
      <c r="R73" s="3153">
        <v>2</v>
      </c>
      <c r="S73" s="3153">
        <v>101</v>
      </c>
      <c r="T73" s="3153">
        <v>274.95999999999998</v>
      </c>
      <c r="U73" s="3153">
        <f t="shared" si="11"/>
        <v>993</v>
      </c>
      <c r="V73" s="3153">
        <f t="shared" si="15"/>
        <v>36115</v>
      </c>
      <c r="X73" s="3154">
        <v>71</v>
      </c>
      <c r="Y73" s="3153" t="s">
        <v>3509</v>
      </c>
      <c r="Z73" s="3153">
        <v>1</v>
      </c>
      <c r="AA73" s="3153">
        <v>-101</v>
      </c>
      <c r="AB73" s="3153">
        <v>95.68</v>
      </c>
      <c r="AC73" s="3153">
        <f t="shared" si="12"/>
        <v>13.5</v>
      </c>
      <c r="AD73" s="3153">
        <f t="shared" si="16"/>
        <v>1406</v>
      </c>
      <c r="AF73" s="3152">
        <v>71</v>
      </c>
      <c r="AG73" s="3156" t="s">
        <v>3491</v>
      </c>
      <c r="AH73" s="3156" t="s">
        <v>3392</v>
      </c>
      <c r="AI73" s="3153">
        <v>1071</v>
      </c>
      <c r="AJ73" s="3153">
        <v>47.92</v>
      </c>
      <c r="AK73" s="3153">
        <f t="shared" si="13"/>
        <v>6.39</v>
      </c>
      <c r="AL73" s="3153">
        <f t="shared" si="17"/>
        <v>1333</v>
      </c>
    </row>
    <row r="74" spans="1:38" ht="14.25" thickBot="1">
      <c r="A74" s="3152">
        <v>72</v>
      </c>
      <c r="B74" s="3153" t="s">
        <v>3426</v>
      </c>
      <c r="C74" s="3153">
        <v>1</v>
      </c>
      <c r="D74" s="3153">
        <v>301</v>
      </c>
      <c r="E74" s="3153">
        <v>193.85</v>
      </c>
      <c r="F74" s="3153">
        <f t="shared" si="10"/>
        <v>673.7</v>
      </c>
      <c r="G74" s="3153">
        <f t="shared" si="14"/>
        <v>34756</v>
      </c>
      <c r="P74" s="3152">
        <v>72</v>
      </c>
      <c r="Q74" s="3153" t="s">
        <v>3509</v>
      </c>
      <c r="R74" s="3153">
        <v>2</v>
      </c>
      <c r="S74" s="3153">
        <v>102</v>
      </c>
      <c r="T74" s="3153">
        <v>274.95999999999998</v>
      </c>
      <c r="U74" s="3153">
        <f t="shared" si="11"/>
        <v>993</v>
      </c>
      <c r="V74" s="3153">
        <f t="shared" si="15"/>
        <v>36115</v>
      </c>
      <c r="X74" s="3154">
        <v>72</v>
      </c>
      <c r="Y74" s="3153" t="s">
        <v>3509</v>
      </c>
      <c r="Z74" s="3153">
        <v>1</v>
      </c>
      <c r="AA74" s="3153">
        <v>-102</v>
      </c>
      <c r="AB74" s="3153">
        <v>95.68</v>
      </c>
      <c r="AC74" s="3153">
        <f t="shared" si="12"/>
        <v>13.5</v>
      </c>
      <c r="AD74" s="3153">
        <f t="shared" si="16"/>
        <v>1406</v>
      </c>
      <c r="AF74" s="3152">
        <v>72</v>
      </c>
      <c r="AG74" s="3156" t="s">
        <v>3491</v>
      </c>
      <c r="AH74" s="3156" t="s">
        <v>3392</v>
      </c>
      <c r="AI74" s="3153">
        <v>1072</v>
      </c>
      <c r="AJ74" s="3153">
        <v>47.92</v>
      </c>
      <c r="AK74" s="3153">
        <f t="shared" si="13"/>
        <v>6.39</v>
      </c>
      <c r="AL74" s="3153">
        <f t="shared" si="17"/>
        <v>1333</v>
      </c>
    </row>
    <row r="75" spans="1:38" ht="14.25" thickBot="1">
      <c r="A75" s="3152">
        <v>73</v>
      </c>
      <c r="B75" s="3153" t="s">
        <v>3426</v>
      </c>
      <c r="C75" s="3153">
        <v>1</v>
      </c>
      <c r="D75" s="3153">
        <v>302</v>
      </c>
      <c r="E75" s="3153">
        <v>177.61</v>
      </c>
      <c r="F75" s="3153">
        <f t="shared" si="10"/>
        <v>617.29999999999995</v>
      </c>
      <c r="G75" s="3153">
        <f t="shared" si="14"/>
        <v>34756</v>
      </c>
      <c r="P75" s="3152">
        <v>73</v>
      </c>
      <c r="Q75" s="3153" t="s">
        <v>3509</v>
      </c>
      <c r="R75" s="3153">
        <v>3</v>
      </c>
      <c r="S75" s="3153">
        <v>101</v>
      </c>
      <c r="T75" s="3153">
        <v>335.71</v>
      </c>
      <c r="U75" s="3153">
        <f t="shared" si="11"/>
        <v>1212.4000000000001</v>
      </c>
      <c r="V75" s="3153">
        <f t="shared" si="15"/>
        <v>36115</v>
      </c>
      <c r="X75" s="3154">
        <v>73</v>
      </c>
      <c r="Y75" s="3153" t="s">
        <v>3509</v>
      </c>
      <c r="Z75" s="3153">
        <v>2</v>
      </c>
      <c r="AA75" s="3153">
        <v>-101</v>
      </c>
      <c r="AB75" s="3153">
        <v>96.82</v>
      </c>
      <c r="AC75" s="3153">
        <f t="shared" si="12"/>
        <v>13.6</v>
      </c>
      <c r="AD75" s="3153">
        <f t="shared" si="16"/>
        <v>1406</v>
      </c>
      <c r="AF75" s="3152">
        <v>73</v>
      </c>
      <c r="AG75" s="3156" t="s">
        <v>3491</v>
      </c>
      <c r="AH75" s="3156" t="s">
        <v>3392</v>
      </c>
      <c r="AI75" s="3153">
        <v>1073</v>
      </c>
      <c r="AJ75" s="3153">
        <v>47.92</v>
      </c>
      <c r="AK75" s="3153">
        <f t="shared" si="13"/>
        <v>6.39</v>
      </c>
      <c r="AL75" s="3153">
        <f t="shared" si="17"/>
        <v>1333</v>
      </c>
    </row>
    <row r="76" spans="1:38" ht="14.25" thickBot="1">
      <c r="A76" s="3152">
        <v>74</v>
      </c>
      <c r="B76" s="3153" t="s">
        <v>3426</v>
      </c>
      <c r="C76" s="3153">
        <v>1</v>
      </c>
      <c r="D76" s="3153">
        <v>501</v>
      </c>
      <c r="E76" s="3153">
        <v>178.3</v>
      </c>
      <c r="F76" s="3153">
        <f t="shared" si="10"/>
        <v>619.70000000000005</v>
      </c>
      <c r="G76" s="3153">
        <f t="shared" si="14"/>
        <v>34756</v>
      </c>
      <c r="P76" s="3152">
        <v>74</v>
      </c>
      <c r="Q76" s="3153" t="s">
        <v>3509</v>
      </c>
      <c r="R76" s="3153">
        <v>3</v>
      </c>
      <c r="S76" s="3153">
        <v>102</v>
      </c>
      <c r="T76" s="3153">
        <v>335.71</v>
      </c>
      <c r="U76" s="3153">
        <f t="shared" si="11"/>
        <v>1212.4000000000001</v>
      </c>
      <c r="V76" s="3153">
        <f t="shared" si="15"/>
        <v>36115</v>
      </c>
      <c r="X76" s="3154">
        <v>74</v>
      </c>
      <c r="Y76" s="3153" t="s">
        <v>3509</v>
      </c>
      <c r="Z76" s="3153">
        <v>2</v>
      </c>
      <c r="AA76" s="3153">
        <v>-102</v>
      </c>
      <c r="AB76" s="3153">
        <v>96.82</v>
      </c>
      <c r="AC76" s="3153">
        <f t="shared" si="12"/>
        <v>13.6</v>
      </c>
      <c r="AD76" s="3153">
        <f t="shared" si="16"/>
        <v>1406</v>
      </c>
      <c r="AF76" s="3152">
        <v>74</v>
      </c>
      <c r="AG76" s="3156" t="s">
        <v>3491</v>
      </c>
      <c r="AH76" s="3156" t="s">
        <v>3392</v>
      </c>
      <c r="AI76" s="3153">
        <v>1074</v>
      </c>
      <c r="AJ76" s="3153">
        <v>47.92</v>
      </c>
      <c r="AK76" s="3153">
        <f t="shared" si="13"/>
        <v>6.39</v>
      </c>
      <c r="AL76" s="3153">
        <f t="shared" si="17"/>
        <v>1333</v>
      </c>
    </row>
    <row r="77" spans="1:38" ht="14.25" thickBot="1">
      <c r="A77" s="3152">
        <v>75</v>
      </c>
      <c r="B77" s="3153" t="s">
        <v>3426</v>
      </c>
      <c r="C77" s="3153">
        <v>2</v>
      </c>
      <c r="D77" s="3153">
        <v>101</v>
      </c>
      <c r="E77" s="3153">
        <v>177.61</v>
      </c>
      <c r="F77" s="3153">
        <f t="shared" si="10"/>
        <v>617.29999999999995</v>
      </c>
      <c r="G77" s="3153">
        <f t="shared" si="14"/>
        <v>34756</v>
      </c>
      <c r="P77" s="3152">
        <v>75</v>
      </c>
      <c r="Q77" s="3153" t="s">
        <v>3510</v>
      </c>
      <c r="R77" s="3153">
        <v>1</v>
      </c>
      <c r="S77" s="3153">
        <v>101</v>
      </c>
      <c r="T77" s="3153">
        <v>303.64999999999998</v>
      </c>
      <c r="U77" s="3153">
        <f t="shared" si="11"/>
        <v>1096.5999999999999</v>
      </c>
      <c r="V77" s="3153">
        <f t="shared" si="15"/>
        <v>36115</v>
      </c>
      <c r="X77" s="3154">
        <v>75</v>
      </c>
      <c r="Y77" s="3153" t="s">
        <v>3509</v>
      </c>
      <c r="Z77" s="3153">
        <v>3</v>
      </c>
      <c r="AA77" s="3153">
        <v>-101</v>
      </c>
      <c r="AB77" s="3153">
        <v>132.38999999999999</v>
      </c>
      <c r="AC77" s="3153">
        <f t="shared" si="12"/>
        <v>18.600000000000001</v>
      </c>
      <c r="AD77" s="3153">
        <f t="shared" si="16"/>
        <v>1406</v>
      </c>
      <c r="AF77" s="3152">
        <v>75</v>
      </c>
      <c r="AG77" s="3156" t="s">
        <v>3491</v>
      </c>
      <c r="AH77" s="3156" t="s">
        <v>3392</v>
      </c>
      <c r="AI77" s="3153">
        <v>1075</v>
      </c>
      <c r="AJ77" s="3153">
        <v>47.92</v>
      </c>
      <c r="AK77" s="3153">
        <f t="shared" si="13"/>
        <v>6.39</v>
      </c>
      <c r="AL77" s="3153">
        <f t="shared" si="17"/>
        <v>1333</v>
      </c>
    </row>
    <row r="78" spans="1:38" ht="14.25" thickBot="1">
      <c r="A78" s="3152">
        <v>76</v>
      </c>
      <c r="B78" s="3153" t="s">
        <v>3426</v>
      </c>
      <c r="C78" s="3153">
        <v>2</v>
      </c>
      <c r="D78" s="3153">
        <v>102</v>
      </c>
      <c r="E78" s="3153">
        <v>177.61</v>
      </c>
      <c r="F78" s="3153">
        <f t="shared" si="10"/>
        <v>617.29999999999995</v>
      </c>
      <c r="G78" s="3153">
        <f t="shared" si="14"/>
        <v>34756</v>
      </c>
      <c r="P78" s="3152">
        <v>76</v>
      </c>
      <c r="Q78" s="3153" t="s">
        <v>3510</v>
      </c>
      <c r="R78" s="3153">
        <v>1</v>
      </c>
      <c r="S78" s="3153">
        <v>102</v>
      </c>
      <c r="T78" s="3153">
        <v>303.64999999999998</v>
      </c>
      <c r="U78" s="3153">
        <f t="shared" si="11"/>
        <v>1096.5999999999999</v>
      </c>
      <c r="V78" s="3153">
        <f t="shared" si="15"/>
        <v>36115</v>
      </c>
      <c r="X78" s="3154">
        <v>76</v>
      </c>
      <c r="Y78" s="3153" t="s">
        <v>3509</v>
      </c>
      <c r="Z78" s="3153">
        <v>3</v>
      </c>
      <c r="AA78" s="3153">
        <v>-102</v>
      </c>
      <c r="AB78" s="3153">
        <v>132.38999999999999</v>
      </c>
      <c r="AC78" s="3153">
        <f t="shared" si="12"/>
        <v>18.600000000000001</v>
      </c>
      <c r="AD78" s="3153">
        <f t="shared" si="16"/>
        <v>1406</v>
      </c>
      <c r="AF78" s="3152">
        <v>76</v>
      </c>
      <c r="AG78" s="3156" t="s">
        <v>3491</v>
      </c>
      <c r="AH78" s="3156" t="s">
        <v>3392</v>
      </c>
      <c r="AI78" s="3153">
        <v>1076</v>
      </c>
      <c r="AJ78" s="3153">
        <v>47.92</v>
      </c>
      <c r="AK78" s="3153">
        <f t="shared" si="13"/>
        <v>6.39</v>
      </c>
      <c r="AL78" s="3153">
        <f t="shared" si="17"/>
        <v>1333</v>
      </c>
    </row>
    <row r="79" spans="1:38" ht="14.25" thickBot="1">
      <c r="A79" s="3152">
        <v>77</v>
      </c>
      <c r="B79" s="3153" t="s">
        <v>3426</v>
      </c>
      <c r="C79" s="3153">
        <v>2</v>
      </c>
      <c r="D79" s="3153">
        <v>301</v>
      </c>
      <c r="E79" s="3153">
        <v>177.61</v>
      </c>
      <c r="F79" s="3153">
        <f t="shared" si="10"/>
        <v>617.29999999999995</v>
      </c>
      <c r="G79" s="3153">
        <f t="shared" si="14"/>
        <v>34756</v>
      </c>
      <c r="P79" s="3152">
        <v>77</v>
      </c>
      <c r="Q79" s="3153" t="s">
        <v>3510</v>
      </c>
      <c r="R79" s="3153">
        <v>2</v>
      </c>
      <c r="S79" s="3153">
        <v>101</v>
      </c>
      <c r="T79" s="3153">
        <v>274.95999999999998</v>
      </c>
      <c r="U79" s="3153">
        <f t="shared" si="11"/>
        <v>993</v>
      </c>
      <c r="V79" s="3153">
        <f t="shared" si="15"/>
        <v>36115</v>
      </c>
      <c r="X79" s="3154">
        <v>77</v>
      </c>
      <c r="Y79" s="3153" t="s">
        <v>3510</v>
      </c>
      <c r="Z79" s="3153">
        <v>1</v>
      </c>
      <c r="AA79" s="3153">
        <v>-101</v>
      </c>
      <c r="AB79" s="3153">
        <v>95.68</v>
      </c>
      <c r="AC79" s="3153">
        <f t="shared" si="12"/>
        <v>13.5</v>
      </c>
      <c r="AD79" s="3153">
        <f t="shared" si="16"/>
        <v>1406</v>
      </c>
      <c r="AF79" s="3152">
        <v>77</v>
      </c>
      <c r="AG79" s="3156" t="s">
        <v>3491</v>
      </c>
      <c r="AH79" s="3156" t="s">
        <v>3392</v>
      </c>
      <c r="AI79" s="3153">
        <v>1077</v>
      </c>
      <c r="AJ79" s="3153">
        <v>47.92</v>
      </c>
      <c r="AK79" s="3153">
        <f t="shared" si="13"/>
        <v>6.39</v>
      </c>
      <c r="AL79" s="3153">
        <f t="shared" si="17"/>
        <v>1333</v>
      </c>
    </row>
    <row r="80" spans="1:38" ht="14.25" thickBot="1">
      <c r="A80" s="3152">
        <v>78</v>
      </c>
      <c r="B80" s="3153" t="s">
        <v>3426</v>
      </c>
      <c r="C80" s="3153">
        <v>2</v>
      </c>
      <c r="D80" s="3153">
        <v>302</v>
      </c>
      <c r="E80" s="3153">
        <v>177.61</v>
      </c>
      <c r="F80" s="3153">
        <f t="shared" si="10"/>
        <v>617.29999999999995</v>
      </c>
      <c r="G80" s="3153">
        <f t="shared" si="14"/>
        <v>34756</v>
      </c>
      <c r="P80" s="3152">
        <v>78</v>
      </c>
      <c r="Q80" s="3153" t="s">
        <v>3510</v>
      </c>
      <c r="R80" s="3153">
        <v>2</v>
      </c>
      <c r="S80" s="3153">
        <v>102</v>
      </c>
      <c r="T80" s="3153">
        <v>274.95999999999998</v>
      </c>
      <c r="U80" s="3153">
        <f t="shared" si="11"/>
        <v>993</v>
      </c>
      <c r="V80" s="3153">
        <f t="shared" si="15"/>
        <v>36115</v>
      </c>
      <c r="X80" s="3154">
        <v>78</v>
      </c>
      <c r="Y80" s="3153" t="s">
        <v>3510</v>
      </c>
      <c r="Z80" s="3153">
        <v>1</v>
      </c>
      <c r="AA80" s="3153">
        <v>-102</v>
      </c>
      <c r="AB80" s="3153">
        <v>95.68</v>
      </c>
      <c r="AC80" s="3153">
        <f t="shared" si="12"/>
        <v>13.5</v>
      </c>
      <c r="AD80" s="3153">
        <f t="shared" si="16"/>
        <v>1406</v>
      </c>
      <c r="AF80" s="3152">
        <v>78</v>
      </c>
      <c r="AG80" s="3156" t="s">
        <v>3491</v>
      </c>
      <c r="AH80" s="3156" t="s">
        <v>3392</v>
      </c>
      <c r="AI80" s="3153">
        <v>1078</v>
      </c>
      <c r="AJ80" s="3153">
        <v>47.92</v>
      </c>
      <c r="AK80" s="3153">
        <f t="shared" si="13"/>
        <v>6.39</v>
      </c>
      <c r="AL80" s="3153">
        <f t="shared" si="17"/>
        <v>1333</v>
      </c>
    </row>
    <row r="81" spans="1:38" ht="14.25" thickBot="1">
      <c r="A81" s="3152">
        <v>79</v>
      </c>
      <c r="B81" s="3153" t="s">
        <v>3426</v>
      </c>
      <c r="C81" s="3153">
        <v>2</v>
      </c>
      <c r="D81" s="3153">
        <v>501</v>
      </c>
      <c r="E81" s="3153">
        <v>170.37</v>
      </c>
      <c r="F81" s="3153">
        <f t="shared" si="10"/>
        <v>592.1</v>
      </c>
      <c r="G81" s="3153">
        <f t="shared" si="14"/>
        <v>34756</v>
      </c>
      <c r="P81" s="3152">
        <v>79</v>
      </c>
      <c r="Q81" s="3153" t="s">
        <v>3510</v>
      </c>
      <c r="R81" s="3153">
        <v>3</v>
      </c>
      <c r="S81" s="3153">
        <v>101</v>
      </c>
      <c r="T81" s="3153">
        <v>335.71</v>
      </c>
      <c r="U81" s="3153">
        <f t="shared" si="11"/>
        <v>1212.4000000000001</v>
      </c>
      <c r="V81" s="3153">
        <f t="shared" si="15"/>
        <v>36115</v>
      </c>
      <c r="X81" s="3154">
        <v>79</v>
      </c>
      <c r="Y81" s="3153" t="s">
        <v>3510</v>
      </c>
      <c r="Z81" s="3153">
        <v>2</v>
      </c>
      <c r="AA81" s="3153">
        <v>-101</v>
      </c>
      <c r="AB81" s="3153">
        <v>96.82</v>
      </c>
      <c r="AC81" s="3153">
        <f t="shared" si="12"/>
        <v>13.6</v>
      </c>
      <c r="AD81" s="3153">
        <f t="shared" si="16"/>
        <v>1406</v>
      </c>
      <c r="AF81" s="3152">
        <v>79</v>
      </c>
      <c r="AG81" s="3156" t="s">
        <v>3491</v>
      </c>
      <c r="AH81" s="3156" t="s">
        <v>3392</v>
      </c>
      <c r="AI81" s="3153">
        <v>1079</v>
      </c>
      <c r="AJ81" s="3153">
        <v>47.92</v>
      </c>
      <c r="AK81" s="3153">
        <f t="shared" si="13"/>
        <v>6.39</v>
      </c>
      <c r="AL81" s="3153">
        <f t="shared" si="17"/>
        <v>1333</v>
      </c>
    </row>
    <row r="82" spans="1:38" ht="14.25" thickBot="1">
      <c r="A82" s="3152">
        <v>80</v>
      </c>
      <c r="B82" s="3153" t="s">
        <v>3426</v>
      </c>
      <c r="C82" s="3153">
        <v>3</v>
      </c>
      <c r="D82" s="3153">
        <v>101</v>
      </c>
      <c r="E82" s="3153">
        <v>177.61</v>
      </c>
      <c r="F82" s="3153">
        <f t="shared" si="10"/>
        <v>617.29999999999995</v>
      </c>
      <c r="G82" s="3153">
        <f t="shared" si="14"/>
        <v>34756</v>
      </c>
      <c r="P82" s="3152">
        <v>80</v>
      </c>
      <c r="Q82" s="3153" t="s">
        <v>3510</v>
      </c>
      <c r="R82" s="3153">
        <v>3</v>
      </c>
      <c r="S82" s="3153">
        <v>102</v>
      </c>
      <c r="T82" s="3153">
        <v>335.71</v>
      </c>
      <c r="U82" s="3153">
        <f t="shared" si="11"/>
        <v>1212.4000000000001</v>
      </c>
      <c r="V82" s="3153">
        <f t="shared" si="15"/>
        <v>36115</v>
      </c>
      <c r="X82" s="3154">
        <v>80</v>
      </c>
      <c r="Y82" s="3153" t="s">
        <v>3510</v>
      </c>
      <c r="Z82" s="3153">
        <v>2</v>
      </c>
      <c r="AA82" s="3153">
        <v>-102</v>
      </c>
      <c r="AB82" s="3153">
        <v>96.82</v>
      </c>
      <c r="AC82" s="3153">
        <f t="shared" si="12"/>
        <v>13.6</v>
      </c>
      <c r="AD82" s="3153">
        <f t="shared" si="16"/>
        <v>1406</v>
      </c>
      <c r="AF82" s="3152">
        <v>80</v>
      </c>
      <c r="AG82" s="3156" t="s">
        <v>3491</v>
      </c>
      <c r="AH82" s="3156" t="s">
        <v>3392</v>
      </c>
      <c r="AI82" s="3153">
        <v>1080</v>
      </c>
      <c r="AJ82" s="3153">
        <v>44.93</v>
      </c>
      <c r="AK82" s="3153">
        <f t="shared" si="13"/>
        <v>5.99</v>
      </c>
      <c r="AL82" s="3153">
        <f t="shared" si="17"/>
        <v>1333</v>
      </c>
    </row>
    <row r="83" spans="1:38" ht="14.25" thickBot="1">
      <c r="A83" s="3152">
        <v>81</v>
      </c>
      <c r="B83" s="3153" t="s">
        <v>3426</v>
      </c>
      <c r="C83" s="3153">
        <v>3</v>
      </c>
      <c r="D83" s="3153">
        <v>102</v>
      </c>
      <c r="E83" s="3153">
        <v>177.61</v>
      </c>
      <c r="F83" s="3153">
        <f t="shared" si="10"/>
        <v>617.29999999999995</v>
      </c>
      <c r="G83" s="3153">
        <f t="shared" si="14"/>
        <v>34756</v>
      </c>
      <c r="P83" s="3152">
        <v>81</v>
      </c>
      <c r="Q83" s="3153" t="s">
        <v>3511</v>
      </c>
      <c r="R83" s="3153">
        <v>1</v>
      </c>
      <c r="S83" s="3153">
        <v>101</v>
      </c>
      <c r="T83" s="3153">
        <v>303.67</v>
      </c>
      <c r="U83" s="3153">
        <f t="shared" si="11"/>
        <v>1096.7</v>
      </c>
      <c r="V83" s="3153">
        <f t="shared" si="15"/>
        <v>36115</v>
      </c>
      <c r="X83" s="3154">
        <v>81</v>
      </c>
      <c r="Y83" s="3153" t="s">
        <v>3510</v>
      </c>
      <c r="Z83" s="3153">
        <v>3</v>
      </c>
      <c r="AA83" s="3153">
        <v>-101</v>
      </c>
      <c r="AB83" s="3153">
        <v>132.38999999999999</v>
      </c>
      <c r="AC83" s="3153">
        <f t="shared" si="12"/>
        <v>18.600000000000001</v>
      </c>
      <c r="AD83" s="3153">
        <f t="shared" si="16"/>
        <v>1406</v>
      </c>
      <c r="AF83" s="3152">
        <v>81</v>
      </c>
      <c r="AG83" s="3156" t="s">
        <v>3491</v>
      </c>
      <c r="AH83" s="3156" t="s">
        <v>3392</v>
      </c>
      <c r="AI83" s="3153">
        <v>1081</v>
      </c>
      <c r="AJ83" s="3153">
        <v>47.92</v>
      </c>
      <c r="AK83" s="3153">
        <f t="shared" si="13"/>
        <v>6.39</v>
      </c>
      <c r="AL83" s="3153">
        <f t="shared" si="17"/>
        <v>1333</v>
      </c>
    </row>
    <row r="84" spans="1:38" ht="14.25" thickBot="1">
      <c r="A84" s="3152">
        <v>82</v>
      </c>
      <c r="B84" s="3153" t="s">
        <v>3426</v>
      </c>
      <c r="C84" s="3153">
        <v>3</v>
      </c>
      <c r="D84" s="3153">
        <v>301</v>
      </c>
      <c r="E84" s="3153">
        <v>177.61</v>
      </c>
      <c r="F84" s="3153">
        <f t="shared" si="10"/>
        <v>617.29999999999995</v>
      </c>
      <c r="G84" s="3153">
        <f t="shared" si="14"/>
        <v>34756</v>
      </c>
      <c r="P84" s="3152">
        <v>82</v>
      </c>
      <c r="Q84" s="3153" t="s">
        <v>3511</v>
      </c>
      <c r="R84" s="3153">
        <v>1</v>
      </c>
      <c r="S84" s="3153">
        <v>102</v>
      </c>
      <c r="T84" s="3153">
        <v>303.67</v>
      </c>
      <c r="U84" s="3153">
        <f t="shared" si="11"/>
        <v>1096.7</v>
      </c>
      <c r="V84" s="3153">
        <f t="shared" si="15"/>
        <v>36115</v>
      </c>
      <c r="X84" s="3154">
        <v>82</v>
      </c>
      <c r="Y84" s="3153" t="s">
        <v>3510</v>
      </c>
      <c r="Z84" s="3153">
        <v>3</v>
      </c>
      <c r="AA84" s="3153">
        <v>-102</v>
      </c>
      <c r="AB84" s="3153">
        <v>132.38999999999999</v>
      </c>
      <c r="AC84" s="3153">
        <f t="shared" si="12"/>
        <v>18.600000000000001</v>
      </c>
      <c r="AD84" s="3153">
        <f t="shared" si="16"/>
        <v>1406</v>
      </c>
      <c r="AF84" s="3152">
        <v>82</v>
      </c>
      <c r="AG84" s="3156" t="s">
        <v>3491</v>
      </c>
      <c r="AH84" s="3156" t="s">
        <v>3392</v>
      </c>
      <c r="AI84" s="3153">
        <v>1082</v>
      </c>
      <c r="AJ84" s="3153">
        <v>47.92</v>
      </c>
      <c r="AK84" s="3153">
        <f t="shared" si="13"/>
        <v>6.39</v>
      </c>
      <c r="AL84" s="3153">
        <f t="shared" si="17"/>
        <v>1333</v>
      </c>
    </row>
    <row r="85" spans="1:38" ht="14.25" thickBot="1">
      <c r="A85" s="3152">
        <v>83</v>
      </c>
      <c r="B85" s="3153" t="s">
        <v>3426</v>
      </c>
      <c r="C85" s="3153">
        <v>3</v>
      </c>
      <c r="D85" s="3153">
        <v>302</v>
      </c>
      <c r="E85" s="3153">
        <v>177.61</v>
      </c>
      <c r="F85" s="3153">
        <f t="shared" si="10"/>
        <v>617.29999999999995</v>
      </c>
      <c r="G85" s="3153">
        <f t="shared" si="14"/>
        <v>34756</v>
      </c>
      <c r="P85" s="3152">
        <v>83</v>
      </c>
      <c r="Q85" s="3153" t="s">
        <v>3511</v>
      </c>
      <c r="R85" s="3153">
        <v>2</v>
      </c>
      <c r="S85" s="3153">
        <v>101</v>
      </c>
      <c r="T85" s="3153">
        <v>335.74</v>
      </c>
      <c r="U85" s="3153">
        <f t="shared" si="11"/>
        <v>1212.5</v>
      </c>
      <c r="V85" s="3153">
        <f t="shared" si="15"/>
        <v>36115</v>
      </c>
      <c r="X85" s="3154">
        <v>83</v>
      </c>
      <c r="Y85" s="3153" t="s">
        <v>3511</v>
      </c>
      <c r="Z85" s="3153">
        <v>1</v>
      </c>
      <c r="AA85" s="3153">
        <v>-101</v>
      </c>
      <c r="AB85" s="3153">
        <v>94.29</v>
      </c>
      <c r="AC85" s="3153">
        <f t="shared" si="12"/>
        <v>13.3</v>
      </c>
      <c r="AD85" s="3153">
        <f t="shared" si="16"/>
        <v>1406</v>
      </c>
      <c r="AF85" s="3152">
        <v>83</v>
      </c>
      <c r="AG85" s="3156" t="s">
        <v>3491</v>
      </c>
      <c r="AH85" s="3156" t="s">
        <v>3392</v>
      </c>
      <c r="AI85" s="3153">
        <v>1083</v>
      </c>
      <c r="AJ85" s="3153">
        <v>47.92</v>
      </c>
      <c r="AK85" s="3153">
        <f t="shared" si="13"/>
        <v>6.39</v>
      </c>
      <c r="AL85" s="3153">
        <f t="shared" si="17"/>
        <v>1333</v>
      </c>
    </row>
    <row r="86" spans="1:38" ht="14.25" thickBot="1">
      <c r="A86" s="3152">
        <v>84</v>
      </c>
      <c r="B86" s="3153" t="s">
        <v>3426</v>
      </c>
      <c r="C86" s="3153">
        <v>3</v>
      </c>
      <c r="D86" s="3153">
        <v>501</v>
      </c>
      <c r="E86" s="3153">
        <v>170.37</v>
      </c>
      <c r="F86" s="3153">
        <f t="shared" si="10"/>
        <v>592.1</v>
      </c>
      <c r="G86" s="3153">
        <f t="shared" si="14"/>
        <v>34756</v>
      </c>
      <c r="P86" s="3152">
        <v>84</v>
      </c>
      <c r="Q86" s="3153" t="s">
        <v>3511</v>
      </c>
      <c r="R86" s="3153">
        <v>2</v>
      </c>
      <c r="S86" s="3153">
        <v>102</v>
      </c>
      <c r="T86" s="3153">
        <v>335.74</v>
      </c>
      <c r="U86" s="3153">
        <f t="shared" si="11"/>
        <v>1212.5</v>
      </c>
      <c r="V86" s="3153">
        <f t="shared" si="15"/>
        <v>36115</v>
      </c>
      <c r="X86" s="3154">
        <v>84</v>
      </c>
      <c r="Y86" s="3153" t="s">
        <v>3511</v>
      </c>
      <c r="Z86" s="3153">
        <v>1</v>
      </c>
      <c r="AA86" s="3153">
        <v>-102</v>
      </c>
      <c r="AB86" s="3153">
        <v>94.29</v>
      </c>
      <c r="AC86" s="3153">
        <f t="shared" si="12"/>
        <v>13.3</v>
      </c>
      <c r="AD86" s="3153">
        <f t="shared" si="16"/>
        <v>1406</v>
      </c>
      <c r="AF86" s="3152">
        <v>84</v>
      </c>
      <c r="AG86" s="3156" t="s">
        <v>3491</v>
      </c>
      <c r="AH86" s="3156" t="s">
        <v>3392</v>
      </c>
      <c r="AI86" s="3153">
        <v>1084</v>
      </c>
      <c r="AJ86" s="3153">
        <v>47.92</v>
      </c>
      <c r="AK86" s="3153">
        <f t="shared" si="13"/>
        <v>6.39</v>
      </c>
      <c r="AL86" s="3153">
        <f t="shared" si="17"/>
        <v>1333</v>
      </c>
    </row>
    <row r="87" spans="1:38" ht="14.25" thickBot="1">
      <c r="A87" s="3152">
        <v>85</v>
      </c>
      <c r="B87" s="3153" t="s">
        <v>3426</v>
      </c>
      <c r="C87" s="3153">
        <v>4</v>
      </c>
      <c r="D87" s="3153">
        <v>101</v>
      </c>
      <c r="E87" s="3153">
        <v>177.61</v>
      </c>
      <c r="F87" s="3153">
        <f t="shared" si="10"/>
        <v>617.29999999999995</v>
      </c>
      <c r="G87" s="3153">
        <f t="shared" si="14"/>
        <v>34756</v>
      </c>
      <c r="P87" s="3152">
        <v>85</v>
      </c>
      <c r="Q87" s="3153" t="s">
        <v>3512</v>
      </c>
      <c r="R87" s="3153">
        <v>1</v>
      </c>
      <c r="S87" s="3153">
        <v>101</v>
      </c>
      <c r="T87" s="3153">
        <v>320.58</v>
      </c>
      <c r="U87" s="3153">
        <f t="shared" si="11"/>
        <v>1157.8</v>
      </c>
      <c r="V87" s="3153">
        <f t="shared" si="15"/>
        <v>36115</v>
      </c>
      <c r="X87" s="3154">
        <v>85</v>
      </c>
      <c r="Y87" s="3153" t="s">
        <v>3511</v>
      </c>
      <c r="Z87" s="3153">
        <v>2</v>
      </c>
      <c r="AA87" s="3153">
        <v>-101</v>
      </c>
      <c r="AB87" s="3153">
        <v>132.78</v>
      </c>
      <c r="AC87" s="3153">
        <f t="shared" si="12"/>
        <v>18.7</v>
      </c>
      <c r="AD87" s="3153">
        <f t="shared" si="16"/>
        <v>1406</v>
      </c>
      <c r="AF87" s="3152">
        <v>85</v>
      </c>
      <c r="AG87" s="3156" t="s">
        <v>3491</v>
      </c>
      <c r="AH87" s="3156" t="s">
        <v>3392</v>
      </c>
      <c r="AI87" s="3153">
        <v>1085</v>
      </c>
      <c r="AJ87" s="3153">
        <v>47.92</v>
      </c>
      <c r="AK87" s="3153">
        <f t="shared" si="13"/>
        <v>6.39</v>
      </c>
      <c r="AL87" s="3153">
        <f t="shared" si="17"/>
        <v>1333</v>
      </c>
    </row>
    <row r="88" spans="1:38" ht="14.25" thickBot="1">
      <c r="A88" s="3152">
        <v>86</v>
      </c>
      <c r="B88" s="3153" t="s">
        <v>3426</v>
      </c>
      <c r="C88" s="3153">
        <v>4</v>
      </c>
      <c r="D88" s="3153">
        <v>102</v>
      </c>
      <c r="E88" s="3153">
        <v>193.85</v>
      </c>
      <c r="F88" s="3153">
        <f t="shared" si="10"/>
        <v>673.7</v>
      </c>
      <c r="G88" s="3153">
        <f t="shared" si="14"/>
        <v>34756</v>
      </c>
      <c r="P88" s="3152">
        <v>86</v>
      </c>
      <c r="Q88" s="3153" t="s">
        <v>3512</v>
      </c>
      <c r="R88" s="3153">
        <v>1</v>
      </c>
      <c r="S88" s="3153">
        <v>102</v>
      </c>
      <c r="T88" s="3153">
        <v>320.58</v>
      </c>
      <c r="U88" s="3153">
        <f>测绘面积!F61-SUM(U3:U87)</f>
        <v>1159.7000000000407</v>
      </c>
      <c r="V88" s="3153">
        <f>V87</f>
        <v>36115</v>
      </c>
      <c r="X88" s="3154">
        <v>86</v>
      </c>
      <c r="Y88" s="3153" t="s">
        <v>3511</v>
      </c>
      <c r="Z88" s="3153">
        <v>2</v>
      </c>
      <c r="AA88" s="3153">
        <v>-102</v>
      </c>
      <c r="AB88" s="3153">
        <v>132.78</v>
      </c>
      <c r="AC88" s="3153">
        <f>测绘面积!F64-SUM(AC3:AC87)</f>
        <v>18.800000000000182</v>
      </c>
      <c r="AD88" s="3153">
        <f t="shared" si="16"/>
        <v>1406</v>
      </c>
      <c r="AF88" s="3152">
        <v>86</v>
      </c>
      <c r="AG88" s="3156" t="s">
        <v>3491</v>
      </c>
      <c r="AH88" s="3156" t="s">
        <v>3392</v>
      </c>
      <c r="AI88" s="3153">
        <v>1086</v>
      </c>
      <c r="AJ88" s="3153">
        <v>47.92</v>
      </c>
      <c r="AK88" s="3153">
        <f t="shared" si="13"/>
        <v>6.39</v>
      </c>
      <c r="AL88" s="3153">
        <f t="shared" si="17"/>
        <v>1333</v>
      </c>
    </row>
    <row r="89" spans="1:38" ht="14.25" thickBot="1">
      <c r="A89" s="3152">
        <v>87</v>
      </c>
      <c r="B89" s="3153" t="s">
        <v>3426</v>
      </c>
      <c r="C89" s="3153">
        <v>4</v>
      </c>
      <c r="D89" s="3153">
        <v>301</v>
      </c>
      <c r="E89" s="3153">
        <v>177.61</v>
      </c>
      <c r="F89" s="3153">
        <f t="shared" si="10"/>
        <v>617.29999999999995</v>
      </c>
      <c r="G89" s="3153">
        <f t="shared" si="14"/>
        <v>34756</v>
      </c>
      <c r="P89" s="3244" t="s">
        <v>3500</v>
      </c>
      <c r="Q89" s="3245"/>
      <c r="R89" s="3245"/>
      <c r="S89" s="3246"/>
      <c r="T89" s="3157">
        <v>26809.47</v>
      </c>
      <c r="U89" s="3157">
        <f>SUM(U3:U88)</f>
        <v>96823</v>
      </c>
      <c r="V89" s="3160" t="s">
        <v>43</v>
      </c>
      <c r="X89" s="3157" t="s">
        <v>3500</v>
      </c>
      <c r="Y89" s="3157"/>
      <c r="Z89" s="3157"/>
      <c r="AA89" s="3157"/>
      <c r="AB89" s="3157">
        <v>8973.93</v>
      </c>
      <c r="AC89" s="3157">
        <f>SUM(AC3:AC88)</f>
        <v>1262</v>
      </c>
      <c r="AD89" s="3157" t="s">
        <v>43</v>
      </c>
      <c r="AF89" s="3152">
        <v>87</v>
      </c>
      <c r="AG89" s="3156" t="s">
        <v>3491</v>
      </c>
      <c r="AH89" s="3156" t="s">
        <v>3392</v>
      </c>
      <c r="AI89" s="3153">
        <v>1087</v>
      </c>
      <c r="AJ89" s="3153">
        <v>47.92</v>
      </c>
      <c r="AK89" s="3153">
        <f t="shared" si="13"/>
        <v>6.39</v>
      </c>
      <c r="AL89" s="3153">
        <f t="shared" si="17"/>
        <v>1333</v>
      </c>
    </row>
    <row r="90" spans="1:38" ht="14.25" thickBot="1">
      <c r="A90" s="3152">
        <v>88</v>
      </c>
      <c r="B90" s="3153" t="s">
        <v>3426</v>
      </c>
      <c r="C90" s="3153">
        <v>4</v>
      </c>
      <c r="D90" s="3153">
        <v>302</v>
      </c>
      <c r="E90" s="3153">
        <v>193.85</v>
      </c>
      <c r="F90" s="3153">
        <f t="shared" si="10"/>
        <v>673.7</v>
      </c>
      <c r="G90" s="3153">
        <f t="shared" si="14"/>
        <v>34756</v>
      </c>
      <c r="AF90" s="3152">
        <v>88</v>
      </c>
      <c r="AG90" s="3156" t="s">
        <v>3491</v>
      </c>
      <c r="AH90" s="3156" t="s">
        <v>3392</v>
      </c>
      <c r="AI90" s="3153">
        <v>1088</v>
      </c>
      <c r="AJ90" s="3153">
        <v>47.92</v>
      </c>
      <c r="AK90" s="3153">
        <f t="shared" si="13"/>
        <v>6.39</v>
      </c>
      <c r="AL90" s="3153">
        <f t="shared" si="17"/>
        <v>1333</v>
      </c>
    </row>
    <row r="91" spans="1:38" ht="14.25" thickBot="1">
      <c r="A91" s="3152">
        <v>89</v>
      </c>
      <c r="B91" s="3153" t="s">
        <v>3426</v>
      </c>
      <c r="C91" s="3153">
        <v>4</v>
      </c>
      <c r="D91" s="3153">
        <v>501</v>
      </c>
      <c r="E91" s="3153">
        <v>178.3</v>
      </c>
      <c r="F91" s="3153">
        <f t="shared" si="10"/>
        <v>619.70000000000005</v>
      </c>
      <c r="G91" s="3153">
        <f t="shared" si="14"/>
        <v>34756</v>
      </c>
      <c r="S91" s="3159" t="s">
        <v>3501</v>
      </c>
      <c r="T91" s="3159">
        <v>26809.47</v>
      </c>
      <c r="U91" s="3159">
        <v>92438</v>
      </c>
      <c r="V91" s="3159">
        <v>34480</v>
      </c>
      <c r="AA91" s="3159" t="s">
        <v>3501</v>
      </c>
      <c r="AB91" s="3159">
        <v>8973.93</v>
      </c>
      <c r="AC91" s="3159">
        <v>1033</v>
      </c>
      <c r="AD91" s="3159">
        <v>1151</v>
      </c>
      <c r="AF91" s="3152">
        <v>89</v>
      </c>
      <c r="AG91" s="3156" t="s">
        <v>3491</v>
      </c>
      <c r="AH91" s="3156" t="s">
        <v>3392</v>
      </c>
      <c r="AI91" s="3153">
        <v>1089</v>
      </c>
      <c r="AJ91" s="3153">
        <v>47.92</v>
      </c>
      <c r="AK91" s="3153">
        <f t="shared" si="13"/>
        <v>6.39</v>
      </c>
      <c r="AL91" s="3153">
        <f t="shared" si="17"/>
        <v>1333</v>
      </c>
    </row>
    <row r="92" spans="1:38" ht="14.25" thickBot="1">
      <c r="A92" s="3152">
        <v>90</v>
      </c>
      <c r="B92" s="3153" t="s">
        <v>3427</v>
      </c>
      <c r="C92" s="3153">
        <v>1</v>
      </c>
      <c r="D92" s="3153">
        <v>101</v>
      </c>
      <c r="E92" s="3153">
        <v>193.85</v>
      </c>
      <c r="F92" s="3153">
        <f t="shared" si="10"/>
        <v>673.7</v>
      </c>
      <c r="G92" s="3153">
        <f t="shared" si="14"/>
        <v>34756</v>
      </c>
      <c r="AF92" s="3152">
        <v>90</v>
      </c>
      <c r="AG92" s="3156" t="s">
        <v>3491</v>
      </c>
      <c r="AH92" s="3156" t="s">
        <v>3392</v>
      </c>
      <c r="AI92" s="3153">
        <v>1090</v>
      </c>
      <c r="AJ92" s="3153">
        <v>47.92</v>
      </c>
      <c r="AK92" s="3153">
        <f t="shared" si="13"/>
        <v>6.39</v>
      </c>
      <c r="AL92" s="3153">
        <f t="shared" si="17"/>
        <v>1333</v>
      </c>
    </row>
    <row r="93" spans="1:38" ht="14.25" thickBot="1">
      <c r="A93" s="3152">
        <v>91</v>
      </c>
      <c r="B93" s="3153" t="s">
        <v>3427</v>
      </c>
      <c r="C93" s="3153">
        <v>1</v>
      </c>
      <c r="D93" s="3153">
        <v>102</v>
      </c>
      <c r="E93" s="3153">
        <v>177.61</v>
      </c>
      <c r="F93" s="3153">
        <f t="shared" si="10"/>
        <v>617.29999999999995</v>
      </c>
      <c r="G93" s="3153">
        <f t="shared" si="14"/>
        <v>34756</v>
      </c>
      <c r="AF93" s="3152">
        <v>91</v>
      </c>
      <c r="AG93" s="3156" t="s">
        <v>3491</v>
      </c>
      <c r="AH93" s="3156" t="s">
        <v>3392</v>
      </c>
      <c r="AI93" s="3153">
        <v>1091</v>
      </c>
      <c r="AJ93" s="3153">
        <v>47.92</v>
      </c>
      <c r="AK93" s="3153">
        <f t="shared" si="13"/>
        <v>6.39</v>
      </c>
      <c r="AL93" s="3153">
        <f t="shared" si="17"/>
        <v>1333</v>
      </c>
    </row>
    <row r="94" spans="1:38" ht="14.25" thickBot="1">
      <c r="A94" s="3152">
        <v>92</v>
      </c>
      <c r="B94" s="3153" t="s">
        <v>3427</v>
      </c>
      <c r="C94" s="3153">
        <v>1</v>
      </c>
      <c r="D94" s="3153">
        <v>301</v>
      </c>
      <c r="E94" s="3153">
        <v>193.85</v>
      </c>
      <c r="F94" s="3153">
        <f t="shared" si="10"/>
        <v>673.7</v>
      </c>
      <c r="G94" s="3153">
        <f t="shared" si="14"/>
        <v>34756</v>
      </c>
      <c r="AF94" s="3152">
        <v>92</v>
      </c>
      <c r="AG94" s="3156" t="s">
        <v>3491</v>
      </c>
      <c r="AH94" s="3156" t="s">
        <v>3392</v>
      </c>
      <c r="AI94" s="3153">
        <v>1092</v>
      </c>
      <c r="AJ94" s="3153">
        <v>47.92</v>
      </c>
      <c r="AK94" s="3153">
        <f t="shared" si="13"/>
        <v>6.39</v>
      </c>
      <c r="AL94" s="3153">
        <f t="shared" si="17"/>
        <v>1333</v>
      </c>
    </row>
    <row r="95" spans="1:38" ht="14.25" thickBot="1">
      <c r="A95" s="3152">
        <v>93</v>
      </c>
      <c r="B95" s="3153" t="s">
        <v>3427</v>
      </c>
      <c r="C95" s="3153">
        <v>1</v>
      </c>
      <c r="D95" s="3153">
        <v>302</v>
      </c>
      <c r="E95" s="3153">
        <v>177.61</v>
      </c>
      <c r="F95" s="3153">
        <f t="shared" si="10"/>
        <v>617.29999999999995</v>
      </c>
      <c r="G95" s="3153">
        <f t="shared" si="14"/>
        <v>34756</v>
      </c>
      <c r="AF95" s="3152">
        <v>93</v>
      </c>
      <c r="AG95" s="3156" t="s">
        <v>3491</v>
      </c>
      <c r="AH95" s="3156" t="s">
        <v>3392</v>
      </c>
      <c r="AI95" s="3153">
        <v>1093</v>
      </c>
      <c r="AJ95" s="3153">
        <v>47.92</v>
      </c>
      <c r="AK95" s="3153">
        <f t="shared" si="13"/>
        <v>6.39</v>
      </c>
      <c r="AL95" s="3153">
        <f t="shared" si="17"/>
        <v>1333</v>
      </c>
    </row>
    <row r="96" spans="1:38" ht="14.25" thickBot="1">
      <c r="A96" s="3152">
        <v>94</v>
      </c>
      <c r="B96" s="3153" t="s">
        <v>3427</v>
      </c>
      <c r="C96" s="3153">
        <v>1</v>
      </c>
      <c r="D96" s="3153">
        <v>501</v>
      </c>
      <c r="E96" s="3153">
        <v>178.3</v>
      </c>
      <c r="F96" s="3153">
        <f t="shared" si="10"/>
        <v>619.70000000000005</v>
      </c>
      <c r="G96" s="3153">
        <f t="shared" si="14"/>
        <v>34756</v>
      </c>
      <c r="AF96" s="3152">
        <v>94</v>
      </c>
      <c r="AG96" s="3156" t="s">
        <v>3491</v>
      </c>
      <c r="AH96" s="3156" t="s">
        <v>3392</v>
      </c>
      <c r="AI96" s="3153">
        <v>1094</v>
      </c>
      <c r="AJ96" s="3153">
        <v>47.92</v>
      </c>
      <c r="AK96" s="3153">
        <f t="shared" si="13"/>
        <v>6.39</v>
      </c>
      <c r="AL96" s="3153">
        <f t="shared" si="17"/>
        <v>1333</v>
      </c>
    </row>
    <row r="97" spans="1:38" ht="14.25" thickBot="1">
      <c r="A97" s="3152">
        <v>95</v>
      </c>
      <c r="B97" s="3153" t="s">
        <v>3427</v>
      </c>
      <c r="C97" s="3153">
        <v>2</v>
      </c>
      <c r="D97" s="3153">
        <v>101</v>
      </c>
      <c r="E97" s="3153">
        <v>177.61</v>
      </c>
      <c r="F97" s="3153">
        <f t="shared" si="10"/>
        <v>617.29999999999995</v>
      </c>
      <c r="G97" s="3153">
        <f t="shared" si="14"/>
        <v>34756</v>
      </c>
      <c r="AF97" s="3152">
        <v>95</v>
      </c>
      <c r="AG97" s="3156" t="s">
        <v>3491</v>
      </c>
      <c r="AH97" s="3156" t="s">
        <v>3392</v>
      </c>
      <c r="AI97" s="3153">
        <v>1095</v>
      </c>
      <c r="AJ97" s="3153">
        <v>47.92</v>
      </c>
      <c r="AK97" s="3153">
        <f t="shared" si="13"/>
        <v>6.39</v>
      </c>
      <c r="AL97" s="3153">
        <f t="shared" si="17"/>
        <v>1333</v>
      </c>
    </row>
    <row r="98" spans="1:38" ht="14.25" thickBot="1">
      <c r="A98" s="3152">
        <v>96</v>
      </c>
      <c r="B98" s="3153" t="s">
        <v>3427</v>
      </c>
      <c r="C98" s="3153">
        <v>2</v>
      </c>
      <c r="D98" s="3153">
        <v>102</v>
      </c>
      <c r="E98" s="3153">
        <v>177.61</v>
      </c>
      <c r="F98" s="3153">
        <f t="shared" si="10"/>
        <v>617.29999999999995</v>
      </c>
      <c r="G98" s="3153">
        <f t="shared" si="14"/>
        <v>34756</v>
      </c>
      <c r="AF98" s="3152">
        <v>96</v>
      </c>
      <c r="AG98" s="3156" t="s">
        <v>3491</v>
      </c>
      <c r="AH98" s="3156" t="s">
        <v>3392</v>
      </c>
      <c r="AI98" s="3153">
        <v>1096</v>
      </c>
      <c r="AJ98" s="3153">
        <v>47.92</v>
      </c>
      <c r="AK98" s="3153">
        <f t="shared" si="13"/>
        <v>6.39</v>
      </c>
      <c r="AL98" s="3153">
        <f t="shared" si="17"/>
        <v>1333</v>
      </c>
    </row>
    <row r="99" spans="1:38" ht="14.25" thickBot="1">
      <c r="A99" s="3152">
        <v>97</v>
      </c>
      <c r="B99" s="3153" t="s">
        <v>3427</v>
      </c>
      <c r="C99" s="3153">
        <v>2</v>
      </c>
      <c r="D99" s="3153">
        <v>301</v>
      </c>
      <c r="E99" s="3153">
        <v>177.61</v>
      </c>
      <c r="F99" s="3153">
        <f t="shared" si="10"/>
        <v>617.29999999999995</v>
      </c>
      <c r="G99" s="3153">
        <f t="shared" si="14"/>
        <v>34756</v>
      </c>
      <c r="AF99" s="3152">
        <v>97</v>
      </c>
      <c r="AG99" s="3156" t="s">
        <v>3491</v>
      </c>
      <c r="AH99" s="3156" t="s">
        <v>3392</v>
      </c>
      <c r="AI99" s="3153">
        <v>1097</v>
      </c>
      <c r="AJ99" s="3153">
        <v>47.92</v>
      </c>
      <c r="AK99" s="3153">
        <f t="shared" si="13"/>
        <v>6.39</v>
      </c>
      <c r="AL99" s="3153">
        <f t="shared" si="17"/>
        <v>1333</v>
      </c>
    </row>
    <row r="100" spans="1:38" ht="14.25" thickBot="1">
      <c r="A100" s="3152">
        <v>98</v>
      </c>
      <c r="B100" s="3153" t="s">
        <v>3427</v>
      </c>
      <c r="C100" s="3153">
        <v>2</v>
      </c>
      <c r="D100" s="3153">
        <v>302</v>
      </c>
      <c r="E100" s="3153">
        <v>177.61</v>
      </c>
      <c r="F100" s="3153">
        <f t="shared" si="10"/>
        <v>617.29999999999995</v>
      </c>
      <c r="G100" s="3153">
        <f t="shared" si="14"/>
        <v>34756</v>
      </c>
      <c r="AF100" s="3152">
        <v>98</v>
      </c>
      <c r="AG100" s="3156" t="s">
        <v>3491</v>
      </c>
      <c r="AH100" s="3156" t="s">
        <v>3392</v>
      </c>
      <c r="AI100" s="3153">
        <v>1098</v>
      </c>
      <c r="AJ100" s="3153">
        <v>47.92</v>
      </c>
      <c r="AK100" s="3153">
        <f t="shared" si="13"/>
        <v>6.39</v>
      </c>
      <c r="AL100" s="3153">
        <f t="shared" si="17"/>
        <v>1333</v>
      </c>
    </row>
    <row r="101" spans="1:38" ht="14.25" thickBot="1">
      <c r="A101" s="3152">
        <v>99</v>
      </c>
      <c r="B101" s="3153" t="s">
        <v>3427</v>
      </c>
      <c r="C101" s="3153">
        <v>2</v>
      </c>
      <c r="D101" s="3153">
        <v>501</v>
      </c>
      <c r="E101" s="3153">
        <v>170.37</v>
      </c>
      <c r="F101" s="3153">
        <f t="shared" si="10"/>
        <v>592.1</v>
      </c>
      <c r="G101" s="3153">
        <f t="shared" si="14"/>
        <v>34756</v>
      </c>
      <c r="AF101" s="3152">
        <v>99</v>
      </c>
      <c r="AG101" s="3156" t="s">
        <v>3491</v>
      </c>
      <c r="AH101" s="3156" t="s">
        <v>3392</v>
      </c>
      <c r="AI101" s="3153">
        <v>1099</v>
      </c>
      <c r="AJ101" s="3153">
        <v>44.93</v>
      </c>
      <c r="AK101" s="3153">
        <f t="shared" si="13"/>
        <v>5.99</v>
      </c>
      <c r="AL101" s="3153">
        <f t="shared" si="17"/>
        <v>1333</v>
      </c>
    </row>
    <row r="102" spans="1:38" ht="14.25" thickBot="1">
      <c r="A102" s="3152">
        <v>100</v>
      </c>
      <c r="B102" s="3153" t="s">
        <v>3427</v>
      </c>
      <c r="C102" s="3153">
        <v>3</v>
      </c>
      <c r="D102" s="3153">
        <v>101</v>
      </c>
      <c r="E102" s="3153">
        <v>177.61</v>
      </c>
      <c r="F102" s="3153">
        <f t="shared" si="10"/>
        <v>617.29999999999995</v>
      </c>
      <c r="G102" s="3153">
        <f t="shared" si="14"/>
        <v>34756</v>
      </c>
      <c r="AF102" s="3152">
        <v>100</v>
      </c>
      <c r="AG102" s="3156" t="s">
        <v>3491</v>
      </c>
      <c r="AH102" s="3156" t="s">
        <v>3392</v>
      </c>
      <c r="AI102" s="3153">
        <v>1100</v>
      </c>
      <c r="AJ102" s="3153">
        <v>47.92</v>
      </c>
      <c r="AK102" s="3153">
        <f t="shared" si="13"/>
        <v>6.39</v>
      </c>
      <c r="AL102" s="3153">
        <f t="shared" si="17"/>
        <v>1333</v>
      </c>
    </row>
    <row r="103" spans="1:38" ht="14.25" thickBot="1">
      <c r="A103" s="3152">
        <v>101</v>
      </c>
      <c r="B103" s="3153" t="s">
        <v>3427</v>
      </c>
      <c r="C103" s="3153">
        <v>3</v>
      </c>
      <c r="D103" s="3153">
        <v>102</v>
      </c>
      <c r="E103" s="3153">
        <v>177.61</v>
      </c>
      <c r="F103" s="3153">
        <f t="shared" si="10"/>
        <v>617.29999999999995</v>
      </c>
      <c r="G103" s="3153">
        <f t="shared" si="14"/>
        <v>34756</v>
      </c>
      <c r="AF103" s="3152">
        <v>101</v>
      </c>
      <c r="AG103" s="3156" t="s">
        <v>3491</v>
      </c>
      <c r="AH103" s="3156" t="s">
        <v>3392</v>
      </c>
      <c r="AI103" s="3153">
        <v>1101</v>
      </c>
      <c r="AJ103" s="3153">
        <v>47.92</v>
      </c>
      <c r="AK103" s="3153">
        <f t="shared" si="13"/>
        <v>6.39</v>
      </c>
      <c r="AL103" s="3153">
        <f t="shared" si="17"/>
        <v>1333</v>
      </c>
    </row>
    <row r="104" spans="1:38" ht="14.25" thickBot="1">
      <c r="A104" s="3152">
        <v>102</v>
      </c>
      <c r="B104" s="3153" t="s">
        <v>3427</v>
      </c>
      <c r="C104" s="3153">
        <v>3</v>
      </c>
      <c r="D104" s="3153">
        <v>301</v>
      </c>
      <c r="E104" s="3153">
        <v>177.61</v>
      </c>
      <c r="F104" s="3153">
        <f t="shared" si="10"/>
        <v>617.29999999999995</v>
      </c>
      <c r="G104" s="3153">
        <f t="shared" si="14"/>
        <v>34756</v>
      </c>
      <c r="AF104" s="3152">
        <v>102</v>
      </c>
      <c r="AG104" s="3156" t="s">
        <v>3491</v>
      </c>
      <c r="AH104" s="3156" t="s">
        <v>3392</v>
      </c>
      <c r="AI104" s="3153">
        <v>1102</v>
      </c>
      <c r="AJ104" s="3153">
        <v>47.92</v>
      </c>
      <c r="AK104" s="3153">
        <f t="shared" si="13"/>
        <v>6.39</v>
      </c>
      <c r="AL104" s="3153">
        <f t="shared" si="17"/>
        <v>1333</v>
      </c>
    </row>
    <row r="105" spans="1:38" ht="14.25" thickBot="1">
      <c r="A105" s="3152">
        <v>103</v>
      </c>
      <c r="B105" s="3153" t="s">
        <v>3427</v>
      </c>
      <c r="C105" s="3153">
        <v>3</v>
      </c>
      <c r="D105" s="3153">
        <v>302</v>
      </c>
      <c r="E105" s="3153">
        <v>177.61</v>
      </c>
      <c r="F105" s="3153">
        <f t="shared" si="10"/>
        <v>617.29999999999995</v>
      </c>
      <c r="G105" s="3153">
        <f t="shared" si="14"/>
        <v>34756</v>
      </c>
      <c r="AF105" s="3152">
        <v>103</v>
      </c>
      <c r="AG105" s="3156" t="s">
        <v>3491</v>
      </c>
      <c r="AH105" s="3156" t="s">
        <v>3392</v>
      </c>
      <c r="AI105" s="3153">
        <v>1103</v>
      </c>
      <c r="AJ105" s="3153">
        <v>47.92</v>
      </c>
      <c r="AK105" s="3153">
        <f t="shared" si="13"/>
        <v>6.39</v>
      </c>
      <c r="AL105" s="3153">
        <f t="shared" si="17"/>
        <v>1333</v>
      </c>
    </row>
    <row r="106" spans="1:38" ht="14.25" thickBot="1">
      <c r="A106" s="3152">
        <v>104</v>
      </c>
      <c r="B106" s="3153" t="s">
        <v>3427</v>
      </c>
      <c r="C106" s="3153">
        <v>3</v>
      </c>
      <c r="D106" s="3153">
        <v>501</v>
      </c>
      <c r="E106" s="3153">
        <v>170.37</v>
      </c>
      <c r="F106" s="3153">
        <f t="shared" si="10"/>
        <v>592.1</v>
      </c>
      <c r="G106" s="3153">
        <f t="shared" si="14"/>
        <v>34756</v>
      </c>
      <c r="AF106" s="3152">
        <v>104</v>
      </c>
      <c r="AG106" s="3156" t="s">
        <v>3491</v>
      </c>
      <c r="AH106" s="3156" t="s">
        <v>3392</v>
      </c>
      <c r="AI106" s="3153">
        <v>1104</v>
      </c>
      <c r="AJ106" s="3153">
        <v>47.92</v>
      </c>
      <c r="AK106" s="3153">
        <f t="shared" si="13"/>
        <v>6.39</v>
      </c>
      <c r="AL106" s="3153">
        <f t="shared" si="17"/>
        <v>1333</v>
      </c>
    </row>
    <row r="107" spans="1:38" ht="14.25" thickBot="1">
      <c r="A107" s="3152">
        <v>105</v>
      </c>
      <c r="B107" s="3153" t="s">
        <v>3427</v>
      </c>
      <c r="C107" s="3153">
        <v>4</v>
      </c>
      <c r="D107" s="3153">
        <v>101</v>
      </c>
      <c r="E107" s="3153">
        <v>177.61</v>
      </c>
      <c r="F107" s="3153">
        <f t="shared" si="10"/>
        <v>617.29999999999995</v>
      </c>
      <c r="G107" s="3153">
        <f t="shared" si="14"/>
        <v>34756</v>
      </c>
      <c r="AF107" s="3152">
        <v>105</v>
      </c>
      <c r="AG107" s="3156" t="s">
        <v>3491</v>
      </c>
      <c r="AH107" s="3156" t="s">
        <v>3392</v>
      </c>
      <c r="AI107" s="3153">
        <v>1105</v>
      </c>
      <c r="AJ107" s="3153">
        <v>47.92</v>
      </c>
      <c r="AK107" s="3153">
        <f t="shared" si="13"/>
        <v>6.39</v>
      </c>
      <c r="AL107" s="3153">
        <f t="shared" si="17"/>
        <v>1333</v>
      </c>
    </row>
    <row r="108" spans="1:38" ht="14.25" thickBot="1">
      <c r="A108" s="3152">
        <v>106</v>
      </c>
      <c r="B108" s="3153" t="s">
        <v>3427</v>
      </c>
      <c r="C108" s="3153">
        <v>4</v>
      </c>
      <c r="D108" s="3153">
        <v>102</v>
      </c>
      <c r="E108" s="3153">
        <v>193.85</v>
      </c>
      <c r="F108" s="3153">
        <f t="shared" si="10"/>
        <v>673.7</v>
      </c>
      <c r="G108" s="3153">
        <f t="shared" si="14"/>
        <v>34756</v>
      </c>
      <c r="AF108" s="3152">
        <v>106</v>
      </c>
      <c r="AG108" s="3156" t="s">
        <v>3491</v>
      </c>
      <c r="AH108" s="3156" t="s">
        <v>3392</v>
      </c>
      <c r="AI108" s="3153">
        <v>1106</v>
      </c>
      <c r="AJ108" s="3153">
        <v>47.92</v>
      </c>
      <c r="AK108" s="3153">
        <f t="shared" si="13"/>
        <v>6.39</v>
      </c>
      <c r="AL108" s="3153">
        <f t="shared" si="17"/>
        <v>1333</v>
      </c>
    </row>
    <row r="109" spans="1:38" ht="14.25" thickBot="1">
      <c r="A109" s="3152">
        <v>107</v>
      </c>
      <c r="B109" s="3153" t="s">
        <v>3427</v>
      </c>
      <c r="C109" s="3153">
        <v>4</v>
      </c>
      <c r="D109" s="3153">
        <v>301</v>
      </c>
      <c r="E109" s="3153">
        <v>177.61</v>
      </c>
      <c r="F109" s="3153">
        <f t="shared" si="10"/>
        <v>617.29999999999995</v>
      </c>
      <c r="G109" s="3153">
        <f t="shared" si="14"/>
        <v>34756</v>
      </c>
      <c r="AF109" s="3152">
        <v>107</v>
      </c>
      <c r="AG109" s="3156" t="s">
        <v>3491</v>
      </c>
      <c r="AH109" s="3156" t="s">
        <v>3392</v>
      </c>
      <c r="AI109" s="3153">
        <v>1107</v>
      </c>
      <c r="AJ109" s="3153">
        <v>47.92</v>
      </c>
      <c r="AK109" s="3153">
        <f t="shared" si="13"/>
        <v>6.39</v>
      </c>
      <c r="AL109" s="3153">
        <f t="shared" si="17"/>
        <v>1333</v>
      </c>
    </row>
    <row r="110" spans="1:38" ht="14.25" thickBot="1">
      <c r="A110" s="3152">
        <v>108</v>
      </c>
      <c r="B110" s="3153" t="s">
        <v>3427</v>
      </c>
      <c r="C110" s="3153">
        <v>4</v>
      </c>
      <c r="D110" s="3153">
        <v>302</v>
      </c>
      <c r="E110" s="3153">
        <v>193.85</v>
      </c>
      <c r="F110" s="3153">
        <f t="shared" si="10"/>
        <v>673.7</v>
      </c>
      <c r="G110" s="3153">
        <f t="shared" si="14"/>
        <v>34756</v>
      </c>
      <c r="AF110" s="3152">
        <v>108</v>
      </c>
      <c r="AG110" s="3156" t="s">
        <v>3491</v>
      </c>
      <c r="AH110" s="3156" t="s">
        <v>3392</v>
      </c>
      <c r="AI110" s="3153">
        <v>1108</v>
      </c>
      <c r="AJ110" s="3153">
        <v>44.93</v>
      </c>
      <c r="AK110" s="3153">
        <f t="shared" si="13"/>
        <v>5.99</v>
      </c>
      <c r="AL110" s="3153">
        <f t="shared" si="17"/>
        <v>1333</v>
      </c>
    </row>
    <row r="111" spans="1:38" ht="14.25" thickBot="1">
      <c r="A111" s="3152">
        <v>109</v>
      </c>
      <c r="B111" s="3153" t="s">
        <v>3427</v>
      </c>
      <c r="C111" s="3153">
        <v>4</v>
      </c>
      <c r="D111" s="3153">
        <v>501</v>
      </c>
      <c r="E111" s="3153">
        <v>178.3</v>
      </c>
      <c r="F111" s="3153">
        <f t="shared" si="10"/>
        <v>619.70000000000005</v>
      </c>
      <c r="G111" s="3153">
        <f t="shared" si="14"/>
        <v>34756</v>
      </c>
      <c r="AF111" s="3152">
        <v>109</v>
      </c>
      <c r="AG111" s="3156" t="s">
        <v>3491</v>
      </c>
      <c r="AH111" s="3156" t="s">
        <v>3392</v>
      </c>
      <c r="AI111" s="3153">
        <v>1109</v>
      </c>
      <c r="AJ111" s="3153">
        <v>44.93</v>
      </c>
      <c r="AK111" s="3153">
        <f t="shared" si="13"/>
        <v>5.99</v>
      </c>
      <c r="AL111" s="3153">
        <f t="shared" si="17"/>
        <v>1333</v>
      </c>
    </row>
    <row r="112" spans="1:38" ht="14.25" thickBot="1">
      <c r="A112" s="3152">
        <v>110</v>
      </c>
      <c r="B112" s="3153" t="s">
        <v>3428</v>
      </c>
      <c r="C112" s="3153">
        <v>1</v>
      </c>
      <c r="D112" s="3153">
        <v>101</v>
      </c>
      <c r="E112" s="3153">
        <v>193.85</v>
      </c>
      <c r="F112" s="3153">
        <f t="shared" si="10"/>
        <v>673.7</v>
      </c>
      <c r="G112" s="3153">
        <f t="shared" si="14"/>
        <v>34756</v>
      </c>
      <c r="AF112" s="3152">
        <v>110</v>
      </c>
      <c r="AG112" s="3156" t="s">
        <v>3491</v>
      </c>
      <c r="AH112" s="3156" t="s">
        <v>3392</v>
      </c>
      <c r="AI112" s="3153">
        <v>1110</v>
      </c>
      <c r="AJ112" s="3153">
        <v>47.92</v>
      </c>
      <c r="AK112" s="3153">
        <f t="shared" si="13"/>
        <v>6.39</v>
      </c>
      <c r="AL112" s="3153">
        <f t="shared" si="17"/>
        <v>1333</v>
      </c>
    </row>
    <row r="113" spans="1:38" ht="14.25" thickBot="1">
      <c r="A113" s="3152">
        <v>111</v>
      </c>
      <c r="B113" s="3153" t="s">
        <v>3428</v>
      </c>
      <c r="C113" s="3153">
        <v>1</v>
      </c>
      <c r="D113" s="3153">
        <v>102</v>
      </c>
      <c r="E113" s="3153">
        <v>177.61</v>
      </c>
      <c r="F113" s="3153">
        <f t="shared" si="10"/>
        <v>617.29999999999995</v>
      </c>
      <c r="G113" s="3153">
        <f t="shared" si="14"/>
        <v>34756</v>
      </c>
      <c r="AF113" s="3152">
        <v>111</v>
      </c>
      <c r="AG113" s="3156" t="s">
        <v>3491</v>
      </c>
      <c r="AH113" s="3156" t="s">
        <v>3392</v>
      </c>
      <c r="AI113" s="3153">
        <v>1111</v>
      </c>
      <c r="AJ113" s="3153">
        <v>47.92</v>
      </c>
      <c r="AK113" s="3153">
        <f t="shared" si="13"/>
        <v>6.39</v>
      </c>
      <c r="AL113" s="3153">
        <f t="shared" si="17"/>
        <v>1333</v>
      </c>
    </row>
    <row r="114" spans="1:38" ht="14.25" thickBot="1">
      <c r="A114" s="3152">
        <v>112</v>
      </c>
      <c r="B114" s="3153" t="s">
        <v>3428</v>
      </c>
      <c r="C114" s="3153">
        <v>1</v>
      </c>
      <c r="D114" s="3153">
        <v>301</v>
      </c>
      <c r="E114" s="3153">
        <v>193.85</v>
      </c>
      <c r="F114" s="3153">
        <f t="shared" si="10"/>
        <v>673.7</v>
      </c>
      <c r="G114" s="3153">
        <f t="shared" si="14"/>
        <v>34756</v>
      </c>
      <c r="AF114" s="3152">
        <v>112</v>
      </c>
      <c r="AG114" s="3156" t="s">
        <v>3491</v>
      </c>
      <c r="AH114" s="3156" t="s">
        <v>3392</v>
      </c>
      <c r="AI114" s="3153">
        <v>1112</v>
      </c>
      <c r="AJ114" s="3153">
        <v>47.92</v>
      </c>
      <c r="AK114" s="3153">
        <f t="shared" si="13"/>
        <v>6.39</v>
      </c>
      <c r="AL114" s="3153">
        <f t="shared" si="17"/>
        <v>1333</v>
      </c>
    </row>
    <row r="115" spans="1:38" ht="14.25" thickBot="1">
      <c r="A115" s="3152">
        <v>113</v>
      </c>
      <c r="B115" s="3153" t="s">
        <v>3428</v>
      </c>
      <c r="C115" s="3153">
        <v>1</v>
      </c>
      <c r="D115" s="3153">
        <v>302</v>
      </c>
      <c r="E115" s="3153">
        <v>177.61</v>
      </c>
      <c r="F115" s="3153">
        <f t="shared" si="10"/>
        <v>617.29999999999995</v>
      </c>
      <c r="G115" s="3153">
        <f t="shared" si="14"/>
        <v>34756</v>
      </c>
      <c r="AF115" s="3152">
        <v>113</v>
      </c>
      <c r="AG115" s="3156" t="s">
        <v>3491</v>
      </c>
      <c r="AH115" s="3156" t="s">
        <v>3392</v>
      </c>
      <c r="AI115" s="3153">
        <v>1113</v>
      </c>
      <c r="AJ115" s="3153">
        <v>47.92</v>
      </c>
      <c r="AK115" s="3153">
        <f t="shared" si="13"/>
        <v>6.39</v>
      </c>
      <c r="AL115" s="3153">
        <f t="shared" si="17"/>
        <v>1333</v>
      </c>
    </row>
    <row r="116" spans="1:38" ht="14.25" thickBot="1">
      <c r="A116" s="3152">
        <v>114</v>
      </c>
      <c r="B116" s="3153" t="s">
        <v>3428</v>
      </c>
      <c r="C116" s="3153">
        <v>1</v>
      </c>
      <c r="D116" s="3153">
        <v>501</v>
      </c>
      <c r="E116" s="3153">
        <v>178.3</v>
      </c>
      <c r="F116" s="3153">
        <f t="shared" si="10"/>
        <v>619.70000000000005</v>
      </c>
      <c r="G116" s="3153">
        <f t="shared" si="14"/>
        <v>34756</v>
      </c>
      <c r="AF116" s="3152">
        <v>114</v>
      </c>
      <c r="AG116" s="3156" t="s">
        <v>3491</v>
      </c>
      <c r="AH116" s="3156" t="s">
        <v>3392</v>
      </c>
      <c r="AI116" s="3153">
        <v>1114</v>
      </c>
      <c r="AJ116" s="3153">
        <v>47.92</v>
      </c>
      <c r="AK116" s="3153">
        <f t="shared" si="13"/>
        <v>6.39</v>
      </c>
      <c r="AL116" s="3153">
        <f t="shared" si="17"/>
        <v>1333</v>
      </c>
    </row>
    <row r="117" spans="1:38" ht="14.25" thickBot="1">
      <c r="A117" s="3152">
        <v>115</v>
      </c>
      <c r="B117" s="3153" t="s">
        <v>3428</v>
      </c>
      <c r="C117" s="3153">
        <v>2</v>
      </c>
      <c r="D117" s="3153">
        <v>101</v>
      </c>
      <c r="E117" s="3153">
        <v>177.61</v>
      </c>
      <c r="F117" s="3153">
        <f t="shared" si="10"/>
        <v>617.29999999999995</v>
      </c>
      <c r="G117" s="3153">
        <f t="shared" si="14"/>
        <v>34756</v>
      </c>
      <c r="AF117" s="3152">
        <v>115</v>
      </c>
      <c r="AG117" s="3156" t="s">
        <v>3491</v>
      </c>
      <c r="AH117" s="3156" t="s">
        <v>3392</v>
      </c>
      <c r="AI117" s="3153">
        <v>1115</v>
      </c>
      <c r="AJ117" s="3153">
        <v>47.92</v>
      </c>
      <c r="AK117" s="3153">
        <f t="shared" si="13"/>
        <v>6.39</v>
      </c>
      <c r="AL117" s="3153">
        <f t="shared" si="17"/>
        <v>1333</v>
      </c>
    </row>
    <row r="118" spans="1:38" ht="14.25" thickBot="1">
      <c r="A118" s="3152">
        <v>116</v>
      </c>
      <c r="B118" s="3153" t="s">
        <v>3428</v>
      </c>
      <c r="C118" s="3153">
        <v>2</v>
      </c>
      <c r="D118" s="3153">
        <v>102</v>
      </c>
      <c r="E118" s="3153">
        <v>177.61</v>
      </c>
      <c r="F118" s="3153">
        <f t="shared" si="10"/>
        <v>617.29999999999995</v>
      </c>
      <c r="G118" s="3153">
        <f t="shared" si="14"/>
        <v>34756</v>
      </c>
      <c r="AF118" s="3152">
        <v>116</v>
      </c>
      <c r="AG118" s="3156" t="s">
        <v>3491</v>
      </c>
      <c r="AH118" s="3156" t="s">
        <v>3392</v>
      </c>
      <c r="AI118" s="3153">
        <v>1116</v>
      </c>
      <c r="AJ118" s="3153">
        <v>47.92</v>
      </c>
      <c r="AK118" s="3153">
        <f t="shared" si="13"/>
        <v>6.39</v>
      </c>
      <c r="AL118" s="3153">
        <f t="shared" si="17"/>
        <v>1333</v>
      </c>
    </row>
    <row r="119" spans="1:38" ht="14.25" thickBot="1">
      <c r="A119" s="3152">
        <v>117</v>
      </c>
      <c r="B119" s="3153" t="s">
        <v>3428</v>
      </c>
      <c r="C119" s="3153">
        <v>2</v>
      </c>
      <c r="D119" s="3153">
        <v>301</v>
      </c>
      <c r="E119" s="3153">
        <v>177.61</v>
      </c>
      <c r="F119" s="3153">
        <f t="shared" si="10"/>
        <v>617.29999999999995</v>
      </c>
      <c r="G119" s="3153">
        <f t="shared" si="14"/>
        <v>34756</v>
      </c>
      <c r="AF119" s="3152">
        <v>117</v>
      </c>
      <c r="AG119" s="3156" t="s">
        <v>3491</v>
      </c>
      <c r="AH119" s="3156" t="s">
        <v>3392</v>
      </c>
      <c r="AI119" s="3153">
        <v>1117</v>
      </c>
      <c r="AJ119" s="3153">
        <v>47.92</v>
      </c>
      <c r="AK119" s="3153">
        <f t="shared" si="13"/>
        <v>6.39</v>
      </c>
      <c r="AL119" s="3153">
        <f t="shared" si="17"/>
        <v>1333</v>
      </c>
    </row>
    <row r="120" spans="1:38" ht="14.25" thickBot="1">
      <c r="A120" s="3152">
        <v>118</v>
      </c>
      <c r="B120" s="3153" t="s">
        <v>3428</v>
      </c>
      <c r="C120" s="3153">
        <v>2</v>
      </c>
      <c r="D120" s="3153">
        <v>302</v>
      </c>
      <c r="E120" s="3153">
        <v>177.61</v>
      </c>
      <c r="F120" s="3153">
        <f t="shared" si="10"/>
        <v>617.29999999999995</v>
      </c>
      <c r="G120" s="3153">
        <f t="shared" si="14"/>
        <v>34756</v>
      </c>
      <c r="AF120" s="3152">
        <v>118</v>
      </c>
      <c r="AG120" s="3156" t="s">
        <v>3491</v>
      </c>
      <c r="AH120" s="3156" t="s">
        <v>3392</v>
      </c>
      <c r="AI120" s="3153">
        <v>1118</v>
      </c>
      <c r="AJ120" s="3153">
        <v>47.92</v>
      </c>
      <c r="AK120" s="3153">
        <f t="shared" si="13"/>
        <v>6.39</v>
      </c>
      <c r="AL120" s="3153">
        <f t="shared" si="17"/>
        <v>1333</v>
      </c>
    </row>
    <row r="121" spans="1:38" ht="14.25" thickBot="1">
      <c r="A121" s="3152">
        <v>119</v>
      </c>
      <c r="B121" s="3153" t="s">
        <v>3428</v>
      </c>
      <c r="C121" s="3153">
        <v>2</v>
      </c>
      <c r="D121" s="3153">
        <v>501</v>
      </c>
      <c r="E121" s="3153">
        <v>170.37</v>
      </c>
      <c r="F121" s="3153">
        <f t="shared" si="10"/>
        <v>592.1</v>
      </c>
      <c r="G121" s="3153">
        <f t="shared" si="14"/>
        <v>34756</v>
      </c>
      <c r="AF121" s="3152">
        <v>119</v>
      </c>
      <c r="AG121" s="3156" t="s">
        <v>3491</v>
      </c>
      <c r="AH121" s="3156" t="s">
        <v>3392</v>
      </c>
      <c r="AI121" s="3153">
        <v>1119</v>
      </c>
      <c r="AJ121" s="3153">
        <v>47.92</v>
      </c>
      <c r="AK121" s="3153">
        <f t="shared" si="13"/>
        <v>6.39</v>
      </c>
      <c r="AL121" s="3153">
        <f t="shared" si="17"/>
        <v>1333</v>
      </c>
    </row>
    <row r="122" spans="1:38" ht="14.25" thickBot="1">
      <c r="A122" s="3152">
        <v>120</v>
      </c>
      <c r="B122" s="3153" t="s">
        <v>3428</v>
      </c>
      <c r="C122" s="3153">
        <v>3</v>
      </c>
      <c r="D122" s="3153">
        <v>101</v>
      </c>
      <c r="E122" s="3153">
        <v>177.61</v>
      </c>
      <c r="F122" s="3153">
        <f t="shared" si="10"/>
        <v>617.29999999999995</v>
      </c>
      <c r="G122" s="3153">
        <f t="shared" si="14"/>
        <v>34756</v>
      </c>
      <c r="AF122" s="3152">
        <v>120</v>
      </c>
      <c r="AG122" s="3156" t="s">
        <v>3491</v>
      </c>
      <c r="AH122" s="3156" t="s">
        <v>3392</v>
      </c>
      <c r="AI122" s="3153">
        <v>1120</v>
      </c>
      <c r="AJ122" s="3153">
        <v>47.92</v>
      </c>
      <c r="AK122" s="3153">
        <f t="shared" si="13"/>
        <v>6.39</v>
      </c>
      <c r="AL122" s="3153">
        <f t="shared" si="17"/>
        <v>1333</v>
      </c>
    </row>
    <row r="123" spans="1:38" ht="14.25" thickBot="1">
      <c r="A123" s="3152">
        <v>121</v>
      </c>
      <c r="B123" s="3153" t="s">
        <v>3428</v>
      </c>
      <c r="C123" s="3153">
        <v>3</v>
      </c>
      <c r="D123" s="3153">
        <v>102</v>
      </c>
      <c r="E123" s="3153">
        <v>177.61</v>
      </c>
      <c r="F123" s="3153">
        <f t="shared" si="10"/>
        <v>617.29999999999995</v>
      </c>
      <c r="G123" s="3153">
        <f t="shared" si="14"/>
        <v>34756</v>
      </c>
      <c r="AF123" s="3152">
        <v>121</v>
      </c>
      <c r="AG123" s="3156" t="s">
        <v>3491</v>
      </c>
      <c r="AH123" s="3156" t="s">
        <v>3392</v>
      </c>
      <c r="AI123" s="3153">
        <v>1121</v>
      </c>
      <c r="AJ123" s="3153">
        <v>47.92</v>
      </c>
      <c r="AK123" s="3153">
        <f t="shared" si="13"/>
        <v>6.39</v>
      </c>
      <c r="AL123" s="3153">
        <f t="shared" si="17"/>
        <v>1333</v>
      </c>
    </row>
    <row r="124" spans="1:38" ht="14.25" thickBot="1">
      <c r="A124" s="3152">
        <v>122</v>
      </c>
      <c r="B124" s="3153" t="s">
        <v>3428</v>
      </c>
      <c r="C124" s="3153">
        <v>3</v>
      </c>
      <c r="D124" s="3153">
        <v>301</v>
      </c>
      <c r="E124" s="3153">
        <v>177.61</v>
      </c>
      <c r="F124" s="3153">
        <f t="shared" si="10"/>
        <v>617.29999999999995</v>
      </c>
      <c r="G124" s="3153">
        <f t="shared" si="14"/>
        <v>34756</v>
      </c>
      <c r="AF124" s="3152">
        <v>122</v>
      </c>
      <c r="AG124" s="3156" t="s">
        <v>3491</v>
      </c>
      <c r="AH124" s="3156" t="s">
        <v>3392</v>
      </c>
      <c r="AI124" s="3153">
        <v>1122</v>
      </c>
      <c r="AJ124" s="3153">
        <v>47.92</v>
      </c>
      <c r="AK124" s="3153">
        <f t="shared" si="13"/>
        <v>6.39</v>
      </c>
      <c r="AL124" s="3153">
        <f t="shared" si="17"/>
        <v>1333</v>
      </c>
    </row>
    <row r="125" spans="1:38" ht="14.25" thickBot="1">
      <c r="A125" s="3152">
        <v>123</v>
      </c>
      <c r="B125" s="3153" t="s">
        <v>3428</v>
      </c>
      <c r="C125" s="3153">
        <v>3</v>
      </c>
      <c r="D125" s="3153">
        <v>302</v>
      </c>
      <c r="E125" s="3153">
        <v>177.61</v>
      </c>
      <c r="F125" s="3153">
        <f t="shared" si="10"/>
        <v>617.29999999999995</v>
      </c>
      <c r="G125" s="3153">
        <f t="shared" si="14"/>
        <v>34756</v>
      </c>
      <c r="AF125" s="3152">
        <v>123</v>
      </c>
      <c r="AG125" s="3156" t="s">
        <v>3491</v>
      </c>
      <c r="AH125" s="3156" t="s">
        <v>3392</v>
      </c>
      <c r="AI125" s="3153">
        <v>1123</v>
      </c>
      <c r="AJ125" s="3153">
        <v>47.92</v>
      </c>
      <c r="AK125" s="3153">
        <f t="shared" si="13"/>
        <v>6.39</v>
      </c>
      <c r="AL125" s="3153">
        <f t="shared" si="17"/>
        <v>1333</v>
      </c>
    </row>
    <row r="126" spans="1:38" ht="14.25" thickBot="1">
      <c r="A126" s="3152">
        <v>124</v>
      </c>
      <c r="B126" s="3153" t="s">
        <v>3428</v>
      </c>
      <c r="C126" s="3153">
        <v>3</v>
      </c>
      <c r="D126" s="3153">
        <v>501</v>
      </c>
      <c r="E126" s="3153">
        <v>170.37</v>
      </c>
      <c r="F126" s="3153">
        <f t="shared" si="10"/>
        <v>592.1</v>
      </c>
      <c r="G126" s="3153">
        <f t="shared" si="14"/>
        <v>34756</v>
      </c>
      <c r="AF126" s="3152">
        <v>124</v>
      </c>
      <c r="AG126" s="3156" t="s">
        <v>3491</v>
      </c>
      <c r="AH126" s="3156" t="s">
        <v>3392</v>
      </c>
      <c r="AI126" s="3153">
        <v>1124</v>
      </c>
      <c r="AJ126" s="3153">
        <v>47.92</v>
      </c>
      <c r="AK126" s="3153">
        <f t="shared" si="13"/>
        <v>6.39</v>
      </c>
      <c r="AL126" s="3153">
        <f t="shared" si="17"/>
        <v>1333</v>
      </c>
    </row>
    <row r="127" spans="1:38" ht="14.25" thickBot="1">
      <c r="A127" s="3152">
        <v>125</v>
      </c>
      <c r="B127" s="3153" t="s">
        <v>3428</v>
      </c>
      <c r="C127" s="3153">
        <v>4</v>
      </c>
      <c r="D127" s="3153">
        <v>101</v>
      </c>
      <c r="E127" s="3153">
        <v>177.61</v>
      </c>
      <c r="F127" s="3153">
        <f t="shared" si="10"/>
        <v>617.29999999999995</v>
      </c>
      <c r="G127" s="3153">
        <f t="shared" si="14"/>
        <v>34756</v>
      </c>
      <c r="AF127" s="3152">
        <v>125</v>
      </c>
      <c r="AG127" s="3156" t="s">
        <v>3491</v>
      </c>
      <c r="AH127" s="3156" t="s">
        <v>3392</v>
      </c>
      <c r="AI127" s="3153">
        <v>1125</v>
      </c>
      <c r="AJ127" s="3153">
        <v>47.92</v>
      </c>
      <c r="AK127" s="3153">
        <f t="shared" si="13"/>
        <v>6.39</v>
      </c>
      <c r="AL127" s="3153">
        <f t="shared" si="17"/>
        <v>1333</v>
      </c>
    </row>
    <row r="128" spans="1:38" ht="14.25" thickBot="1">
      <c r="A128" s="3152">
        <v>126</v>
      </c>
      <c r="B128" s="3153" t="s">
        <v>3428</v>
      </c>
      <c r="C128" s="3153">
        <v>4</v>
      </c>
      <c r="D128" s="3153">
        <v>102</v>
      </c>
      <c r="E128" s="3153">
        <v>193.85</v>
      </c>
      <c r="F128" s="3153">
        <f t="shared" si="10"/>
        <v>673.7</v>
      </c>
      <c r="G128" s="3153">
        <f t="shared" si="14"/>
        <v>34756</v>
      </c>
      <c r="AF128" s="3152">
        <v>126</v>
      </c>
      <c r="AG128" s="3156" t="s">
        <v>3491</v>
      </c>
      <c r="AH128" s="3156" t="s">
        <v>3392</v>
      </c>
      <c r="AI128" s="3153">
        <v>1126</v>
      </c>
      <c r="AJ128" s="3153">
        <v>44.93</v>
      </c>
      <c r="AK128" s="3153">
        <f t="shared" si="13"/>
        <v>5.99</v>
      </c>
      <c r="AL128" s="3153">
        <f t="shared" si="17"/>
        <v>1333</v>
      </c>
    </row>
    <row r="129" spans="1:38" ht="14.25" thickBot="1">
      <c r="A129" s="3152">
        <v>127</v>
      </c>
      <c r="B129" s="3153" t="s">
        <v>3428</v>
      </c>
      <c r="C129" s="3153">
        <v>4</v>
      </c>
      <c r="D129" s="3153">
        <v>301</v>
      </c>
      <c r="E129" s="3153">
        <v>177.61</v>
      </c>
      <c r="F129" s="3153">
        <f t="shared" si="10"/>
        <v>617.29999999999995</v>
      </c>
      <c r="G129" s="3153">
        <f t="shared" si="14"/>
        <v>34756</v>
      </c>
      <c r="AF129" s="3152">
        <v>127</v>
      </c>
      <c r="AG129" s="3156" t="s">
        <v>3491</v>
      </c>
      <c r="AH129" s="3156" t="s">
        <v>3392</v>
      </c>
      <c r="AI129" s="3153">
        <v>1127</v>
      </c>
      <c r="AJ129" s="3153">
        <v>47.92</v>
      </c>
      <c r="AK129" s="3153">
        <f t="shared" si="13"/>
        <v>6.39</v>
      </c>
      <c r="AL129" s="3153">
        <f t="shared" si="17"/>
        <v>1333</v>
      </c>
    </row>
    <row r="130" spans="1:38" ht="14.25" thickBot="1">
      <c r="A130" s="3152">
        <v>128</v>
      </c>
      <c r="B130" s="3153" t="s">
        <v>3428</v>
      </c>
      <c r="C130" s="3153">
        <v>4</v>
      </c>
      <c r="D130" s="3153">
        <v>302</v>
      </c>
      <c r="E130" s="3153">
        <v>193.85</v>
      </c>
      <c r="F130" s="3153">
        <f t="shared" si="10"/>
        <v>673.7</v>
      </c>
      <c r="G130" s="3153">
        <f t="shared" si="14"/>
        <v>34756</v>
      </c>
      <c r="AF130" s="3152">
        <v>128</v>
      </c>
      <c r="AG130" s="3156" t="s">
        <v>3491</v>
      </c>
      <c r="AH130" s="3156" t="s">
        <v>3392</v>
      </c>
      <c r="AI130" s="3153">
        <v>1128</v>
      </c>
      <c r="AJ130" s="3153">
        <v>47.92</v>
      </c>
      <c r="AK130" s="3153">
        <f t="shared" si="13"/>
        <v>6.39</v>
      </c>
      <c r="AL130" s="3153">
        <f t="shared" si="17"/>
        <v>1333</v>
      </c>
    </row>
    <row r="131" spans="1:38" ht="14.25" thickBot="1">
      <c r="A131" s="3152">
        <v>129</v>
      </c>
      <c r="B131" s="3153" t="s">
        <v>3428</v>
      </c>
      <c r="C131" s="3153">
        <v>4</v>
      </c>
      <c r="D131" s="3153">
        <v>501</v>
      </c>
      <c r="E131" s="3153">
        <v>178.3</v>
      </c>
      <c r="F131" s="3153">
        <f t="shared" si="10"/>
        <v>619.70000000000005</v>
      </c>
      <c r="G131" s="3153">
        <f t="shared" si="14"/>
        <v>34756</v>
      </c>
      <c r="AF131" s="3152">
        <v>129</v>
      </c>
      <c r="AG131" s="3156" t="s">
        <v>3491</v>
      </c>
      <c r="AH131" s="3156" t="s">
        <v>3392</v>
      </c>
      <c r="AI131" s="3153">
        <v>1129</v>
      </c>
      <c r="AJ131" s="3153">
        <v>47.92</v>
      </c>
      <c r="AK131" s="3153">
        <f t="shared" si="13"/>
        <v>6.39</v>
      </c>
      <c r="AL131" s="3153">
        <f t="shared" si="17"/>
        <v>1333</v>
      </c>
    </row>
    <row r="132" spans="1:38" ht="14.25" thickBot="1">
      <c r="A132" s="3152">
        <v>130</v>
      </c>
      <c r="B132" s="3153" t="s">
        <v>3429</v>
      </c>
      <c r="C132" s="3153">
        <v>1</v>
      </c>
      <c r="D132" s="3153">
        <v>101</v>
      </c>
      <c r="E132" s="3153">
        <v>193.9</v>
      </c>
      <c r="F132" s="3153">
        <f t="shared" ref="F132:F195" si="18">ROUND(G132*E132/10000,1)</f>
        <v>673.9</v>
      </c>
      <c r="G132" s="3153">
        <f t="shared" si="14"/>
        <v>34756</v>
      </c>
      <c r="AF132" s="3152">
        <v>130</v>
      </c>
      <c r="AG132" s="3156" t="s">
        <v>3491</v>
      </c>
      <c r="AH132" s="3156" t="s">
        <v>3392</v>
      </c>
      <c r="AI132" s="3153">
        <v>1130</v>
      </c>
      <c r="AJ132" s="3153">
        <v>47.92</v>
      </c>
      <c r="AK132" s="3153">
        <f t="shared" ref="AK132:AK195" si="19">ROUND(AL132*AJ132/10000,2)</f>
        <v>6.39</v>
      </c>
      <c r="AL132" s="3153">
        <f t="shared" si="17"/>
        <v>1333</v>
      </c>
    </row>
    <row r="133" spans="1:38" ht="14.25" thickBot="1">
      <c r="A133" s="3152">
        <v>131</v>
      </c>
      <c r="B133" s="3153" t="s">
        <v>3429</v>
      </c>
      <c r="C133" s="3153">
        <v>1</v>
      </c>
      <c r="D133" s="3153">
        <v>102</v>
      </c>
      <c r="E133" s="3153">
        <v>177.66</v>
      </c>
      <c r="F133" s="3153">
        <f t="shared" si="18"/>
        <v>617.5</v>
      </c>
      <c r="G133" s="3153">
        <f t="shared" ref="G133:G196" si="20">G132</f>
        <v>34756</v>
      </c>
      <c r="AF133" s="3152">
        <v>131</v>
      </c>
      <c r="AG133" s="3156" t="s">
        <v>3491</v>
      </c>
      <c r="AH133" s="3156" t="s">
        <v>3392</v>
      </c>
      <c r="AI133" s="3153">
        <v>1131</v>
      </c>
      <c r="AJ133" s="3153">
        <v>47.92</v>
      </c>
      <c r="AK133" s="3153">
        <f t="shared" si="19"/>
        <v>6.39</v>
      </c>
      <c r="AL133" s="3153">
        <f t="shared" ref="AL133:AL196" si="21">AL132</f>
        <v>1333</v>
      </c>
    </row>
    <row r="134" spans="1:38" ht="14.25" thickBot="1">
      <c r="A134" s="3152">
        <v>132</v>
      </c>
      <c r="B134" s="3153" t="s">
        <v>3429</v>
      </c>
      <c r="C134" s="3153">
        <v>1</v>
      </c>
      <c r="D134" s="3153">
        <v>301</v>
      </c>
      <c r="E134" s="3153">
        <v>193.9</v>
      </c>
      <c r="F134" s="3153">
        <f t="shared" si="18"/>
        <v>673.9</v>
      </c>
      <c r="G134" s="3153">
        <f t="shared" si="20"/>
        <v>34756</v>
      </c>
      <c r="AF134" s="3152">
        <v>132</v>
      </c>
      <c r="AG134" s="3156" t="s">
        <v>3491</v>
      </c>
      <c r="AH134" s="3156" t="s">
        <v>3392</v>
      </c>
      <c r="AI134" s="3153">
        <v>1132</v>
      </c>
      <c r="AJ134" s="3153">
        <v>47.92</v>
      </c>
      <c r="AK134" s="3153">
        <f t="shared" si="19"/>
        <v>6.39</v>
      </c>
      <c r="AL134" s="3153">
        <f t="shared" si="21"/>
        <v>1333</v>
      </c>
    </row>
    <row r="135" spans="1:38" ht="14.25" thickBot="1">
      <c r="A135" s="3152">
        <v>133</v>
      </c>
      <c r="B135" s="3153" t="s">
        <v>3429</v>
      </c>
      <c r="C135" s="3153">
        <v>1</v>
      </c>
      <c r="D135" s="3153">
        <v>302</v>
      </c>
      <c r="E135" s="3153">
        <v>177.66</v>
      </c>
      <c r="F135" s="3153">
        <f t="shared" si="18"/>
        <v>617.5</v>
      </c>
      <c r="G135" s="3153">
        <f t="shared" si="20"/>
        <v>34756</v>
      </c>
      <c r="AF135" s="3152">
        <v>133</v>
      </c>
      <c r="AG135" s="3156" t="s">
        <v>3491</v>
      </c>
      <c r="AH135" s="3156" t="s">
        <v>3392</v>
      </c>
      <c r="AI135" s="3153">
        <v>1133</v>
      </c>
      <c r="AJ135" s="3153">
        <v>47.92</v>
      </c>
      <c r="AK135" s="3153">
        <f t="shared" si="19"/>
        <v>6.39</v>
      </c>
      <c r="AL135" s="3153">
        <f t="shared" si="21"/>
        <v>1333</v>
      </c>
    </row>
    <row r="136" spans="1:38" ht="14.25" thickBot="1">
      <c r="A136" s="3152">
        <v>134</v>
      </c>
      <c r="B136" s="3153" t="s">
        <v>3429</v>
      </c>
      <c r="C136" s="3153">
        <v>1</v>
      </c>
      <c r="D136" s="3153">
        <v>501</v>
      </c>
      <c r="E136" s="3153">
        <v>178.35</v>
      </c>
      <c r="F136" s="3153">
        <f t="shared" si="18"/>
        <v>619.9</v>
      </c>
      <c r="G136" s="3153">
        <f t="shared" si="20"/>
        <v>34756</v>
      </c>
      <c r="AF136" s="3152">
        <v>134</v>
      </c>
      <c r="AG136" s="3156" t="s">
        <v>3491</v>
      </c>
      <c r="AH136" s="3156" t="s">
        <v>3392</v>
      </c>
      <c r="AI136" s="3153">
        <v>1134</v>
      </c>
      <c r="AJ136" s="3153">
        <v>47.92</v>
      </c>
      <c r="AK136" s="3153">
        <f t="shared" si="19"/>
        <v>6.39</v>
      </c>
      <c r="AL136" s="3153">
        <f t="shared" si="21"/>
        <v>1333</v>
      </c>
    </row>
    <row r="137" spans="1:38" ht="14.25" thickBot="1">
      <c r="A137" s="3152">
        <v>135</v>
      </c>
      <c r="B137" s="3153" t="s">
        <v>3429</v>
      </c>
      <c r="C137" s="3153">
        <v>2</v>
      </c>
      <c r="D137" s="3153">
        <v>101</v>
      </c>
      <c r="E137" s="3153">
        <v>177.66</v>
      </c>
      <c r="F137" s="3153">
        <f t="shared" si="18"/>
        <v>617.5</v>
      </c>
      <c r="G137" s="3153">
        <f t="shared" si="20"/>
        <v>34756</v>
      </c>
      <c r="AF137" s="3152">
        <v>135</v>
      </c>
      <c r="AG137" s="3156" t="s">
        <v>3491</v>
      </c>
      <c r="AH137" s="3156" t="s">
        <v>3392</v>
      </c>
      <c r="AI137" s="3153">
        <v>1135</v>
      </c>
      <c r="AJ137" s="3153">
        <v>47.92</v>
      </c>
      <c r="AK137" s="3153">
        <f t="shared" si="19"/>
        <v>6.39</v>
      </c>
      <c r="AL137" s="3153">
        <f t="shared" si="21"/>
        <v>1333</v>
      </c>
    </row>
    <row r="138" spans="1:38" ht="14.25" thickBot="1">
      <c r="A138" s="3152">
        <v>136</v>
      </c>
      <c r="B138" s="3153" t="s">
        <v>3429</v>
      </c>
      <c r="C138" s="3153">
        <v>2</v>
      </c>
      <c r="D138" s="3153">
        <v>102</v>
      </c>
      <c r="E138" s="3153">
        <v>177.66</v>
      </c>
      <c r="F138" s="3153">
        <f t="shared" si="18"/>
        <v>617.5</v>
      </c>
      <c r="G138" s="3153">
        <f t="shared" si="20"/>
        <v>34756</v>
      </c>
      <c r="AF138" s="3152">
        <v>136</v>
      </c>
      <c r="AG138" s="3156" t="s">
        <v>3491</v>
      </c>
      <c r="AH138" s="3156" t="s">
        <v>3392</v>
      </c>
      <c r="AI138" s="3153">
        <v>1136</v>
      </c>
      <c r="AJ138" s="3153">
        <v>47.92</v>
      </c>
      <c r="AK138" s="3153">
        <f t="shared" si="19"/>
        <v>6.39</v>
      </c>
      <c r="AL138" s="3153">
        <f t="shared" si="21"/>
        <v>1333</v>
      </c>
    </row>
    <row r="139" spans="1:38" ht="14.25" thickBot="1">
      <c r="A139" s="3152">
        <v>137</v>
      </c>
      <c r="B139" s="3153" t="s">
        <v>3429</v>
      </c>
      <c r="C139" s="3153">
        <v>2</v>
      </c>
      <c r="D139" s="3153">
        <v>301</v>
      </c>
      <c r="E139" s="3153">
        <v>177.66</v>
      </c>
      <c r="F139" s="3153">
        <f t="shared" si="18"/>
        <v>617.5</v>
      </c>
      <c r="G139" s="3153">
        <f t="shared" si="20"/>
        <v>34756</v>
      </c>
      <c r="AF139" s="3152">
        <v>137</v>
      </c>
      <c r="AG139" s="3156" t="s">
        <v>3491</v>
      </c>
      <c r="AH139" s="3156" t="s">
        <v>3392</v>
      </c>
      <c r="AI139" s="3153">
        <v>1137</v>
      </c>
      <c r="AJ139" s="3153">
        <v>47.92</v>
      </c>
      <c r="AK139" s="3153">
        <f t="shared" si="19"/>
        <v>6.39</v>
      </c>
      <c r="AL139" s="3153">
        <f t="shared" si="21"/>
        <v>1333</v>
      </c>
    </row>
    <row r="140" spans="1:38" ht="14.25" thickBot="1">
      <c r="A140" s="3152">
        <v>138</v>
      </c>
      <c r="B140" s="3153" t="s">
        <v>3429</v>
      </c>
      <c r="C140" s="3153">
        <v>2</v>
      </c>
      <c r="D140" s="3153">
        <v>302</v>
      </c>
      <c r="E140" s="3153">
        <v>177.66</v>
      </c>
      <c r="F140" s="3153">
        <f t="shared" si="18"/>
        <v>617.5</v>
      </c>
      <c r="G140" s="3153">
        <f t="shared" si="20"/>
        <v>34756</v>
      </c>
      <c r="AF140" s="3152">
        <v>138</v>
      </c>
      <c r="AG140" s="3156" t="s">
        <v>3491</v>
      </c>
      <c r="AH140" s="3156" t="s">
        <v>3392</v>
      </c>
      <c r="AI140" s="3153">
        <v>1138</v>
      </c>
      <c r="AJ140" s="3153">
        <v>47.92</v>
      </c>
      <c r="AK140" s="3153">
        <f t="shared" si="19"/>
        <v>6.39</v>
      </c>
      <c r="AL140" s="3153">
        <f t="shared" si="21"/>
        <v>1333</v>
      </c>
    </row>
    <row r="141" spans="1:38" ht="14.25" thickBot="1">
      <c r="A141" s="3152">
        <v>139</v>
      </c>
      <c r="B141" s="3153" t="s">
        <v>3429</v>
      </c>
      <c r="C141" s="3153">
        <v>2</v>
      </c>
      <c r="D141" s="3153">
        <v>501</v>
      </c>
      <c r="E141" s="3153">
        <v>170.42</v>
      </c>
      <c r="F141" s="3153">
        <f t="shared" si="18"/>
        <v>592.29999999999995</v>
      </c>
      <c r="G141" s="3153">
        <f t="shared" si="20"/>
        <v>34756</v>
      </c>
      <c r="AF141" s="3152">
        <v>139</v>
      </c>
      <c r="AG141" s="3156" t="s">
        <v>3491</v>
      </c>
      <c r="AH141" s="3156" t="s">
        <v>3392</v>
      </c>
      <c r="AI141" s="3153">
        <v>1139</v>
      </c>
      <c r="AJ141" s="3153">
        <v>47.92</v>
      </c>
      <c r="AK141" s="3153">
        <f t="shared" si="19"/>
        <v>6.39</v>
      </c>
      <c r="AL141" s="3153">
        <f t="shared" si="21"/>
        <v>1333</v>
      </c>
    </row>
    <row r="142" spans="1:38" ht="14.25" thickBot="1">
      <c r="A142" s="3152">
        <v>140</v>
      </c>
      <c r="B142" s="3153" t="s">
        <v>3429</v>
      </c>
      <c r="C142" s="3153">
        <v>3</v>
      </c>
      <c r="D142" s="3153">
        <v>101</v>
      </c>
      <c r="E142" s="3153">
        <v>177.66</v>
      </c>
      <c r="F142" s="3153">
        <f t="shared" si="18"/>
        <v>617.5</v>
      </c>
      <c r="G142" s="3153">
        <f t="shared" si="20"/>
        <v>34756</v>
      </c>
      <c r="AF142" s="3152">
        <v>140</v>
      </c>
      <c r="AG142" s="3156" t="s">
        <v>3491</v>
      </c>
      <c r="AH142" s="3156" t="s">
        <v>3392</v>
      </c>
      <c r="AI142" s="3153">
        <v>1140</v>
      </c>
      <c r="AJ142" s="3153">
        <v>47.92</v>
      </c>
      <c r="AK142" s="3153">
        <f t="shared" si="19"/>
        <v>6.39</v>
      </c>
      <c r="AL142" s="3153">
        <f t="shared" si="21"/>
        <v>1333</v>
      </c>
    </row>
    <row r="143" spans="1:38" ht="14.25" thickBot="1">
      <c r="A143" s="3152">
        <v>141</v>
      </c>
      <c r="B143" s="3153" t="s">
        <v>3429</v>
      </c>
      <c r="C143" s="3153">
        <v>3</v>
      </c>
      <c r="D143" s="3153">
        <v>102</v>
      </c>
      <c r="E143" s="3153">
        <v>193.9</v>
      </c>
      <c r="F143" s="3153">
        <f t="shared" si="18"/>
        <v>673.9</v>
      </c>
      <c r="G143" s="3153">
        <f t="shared" si="20"/>
        <v>34756</v>
      </c>
      <c r="AF143" s="3152">
        <v>141</v>
      </c>
      <c r="AG143" s="3156" t="s">
        <v>3491</v>
      </c>
      <c r="AH143" s="3156" t="s">
        <v>3392</v>
      </c>
      <c r="AI143" s="3153">
        <v>1141</v>
      </c>
      <c r="AJ143" s="3153">
        <v>47.92</v>
      </c>
      <c r="AK143" s="3153">
        <f t="shared" si="19"/>
        <v>6.39</v>
      </c>
      <c r="AL143" s="3153">
        <f t="shared" si="21"/>
        <v>1333</v>
      </c>
    </row>
    <row r="144" spans="1:38" ht="14.25" thickBot="1">
      <c r="A144" s="3152">
        <v>142</v>
      </c>
      <c r="B144" s="3153" t="s">
        <v>3429</v>
      </c>
      <c r="C144" s="3153">
        <v>3</v>
      </c>
      <c r="D144" s="3153">
        <v>301</v>
      </c>
      <c r="E144" s="3153">
        <v>177.66</v>
      </c>
      <c r="F144" s="3153">
        <f t="shared" si="18"/>
        <v>617.5</v>
      </c>
      <c r="G144" s="3153">
        <f t="shared" si="20"/>
        <v>34756</v>
      </c>
      <c r="AF144" s="3152">
        <v>142</v>
      </c>
      <c r="AG144" s="3156" t="s">
        <v>3491</v>
      </c>
      <c r="AH144" s="3156" t="s">
        <v>3392</v>
      </c>
      <c r="AI144" s="3153">
        <v>1142</v>
      </c>
      <c r="AJ144" s="3153">
        <v>47.92</v>
      </c>
      <c r="AK144" s="3153">
        <f t="shared" si="19"/>
        <v>6.39</v>
      </c>
      <c r="AL144" s="3153">
        <f t="shared" si="21"/>
        <v>1333</v>
      </c>
    </row>
    <row r="145" spans="1:38" ht="14.25" thickBot="1">
      <c r="A145" s="3152">
        <v>143</v>
      </c>
      <c r="B145" s="3153" t="s">
        <v>3429</v>
      </c>
      <c r="C145" s="3153">
        <v>3</v>
      </c>
      <c r="D145" s="3153">
        <v>302</v>
      </c>
      <c r="E145" s="3153">
        <v>193.9</v>
      </c>
      <c r="F145" s="3153">
        <f t="shared" si="18"/>
        <v>673.9</v>
      </c>
      <c r="G145" s="3153">
        <f t="shared" si="20"/>
        <v>34756</v>
      </c>
      <c r="AF145" s="3152">
        <v>143</v>
      </c>
      <c r="AG145" s="3156" t="s">
        <v>3491</v>
      </c>
      <c r="AH145" s="3156" t="s">
        <v>3392</v>
      </c>
      <c r="AI145" s="3153">
        <v>1143</v>
      </c>
      <c r="AJ145" s="3153">
        <v>47.92</v>
      </c>
      <c r="AK145" s="3153">
        <f t="shared" si="19"/>
        <v>6.39</v>
      </c>
      <c r="AL145" s="3153">
        <f t="shared" si="21"/>
        <v>1333</v>
      </c>
    </row>
    <row r="146" spans="1:38" ht="14.25" thickBot="1">
      <c r="A146" s="3152">
        <v>144</v>
      </c>
      <c r="B146" s="3153" t="s">
        <v>3429</v>
      </c>
      <c r="C146" s="3153">
        <v>3</v>
      </c>
      <c r="D146" s="3153">
        <v>501</v>
      </c>
      <c r="E146" s="3153">
        <v>178.35</v>
      </c>
      <c r="F146" s="3153">
        <f t="shared" si="18"/>
        <v>619.9</v>
      </c>
      <c r="G146" s="3153">
        <f t="shared" si="20"/>
        <v>34756</v>
      </c>
      <c r="AF146" s="3152">
        <v>144</v>
      </c>
      <c r="AG146" s="3156" t="s">
        <v>3491</v>
      </c>
      <c r="AH146" s="3156" t="s">
        <v>3392</v>
      </c>
      <c r="AI146" s="3153">
        <v>1144</v>
      </c>
      <c r="AJ146" s="3153">
        <v>47.92</v>
      </c>
      <c r="AK146" s="3153">
        <f t="shared" si="19"/>
        <v>6.39</v>
      </c>
      <c r="AL146" s="3153">
        <f t="shared" si="21"/>
        <v>1333</v>
      </c>
    </row>
    <row r="147" spans="1:38" ht="14.25" thickBot="1">
      <c r="A147" s="3152">
        <v>145</v>
      </c>
      <c r="B147" s="3153" t="s">
        <v>3430</v>
      </c>
      <c r="C147" s="3153">
        <v>1</v>
      </c>
      <c r="D147" s="3153">
        <v>101</v>
      </c>
      <c r="E147" s="3153">
        <v>193.85</v>
      </c>
      <c r="F147" s="3153">
        <f t="shared" si="18"/>
        <v>673.7</v>
      </c>
      <c r="G147" s="3153">
        <f t="shared" si="20"/>
        <v>34756</v>
      </c>
      <c r="AF147" s="3152">
        <v>145</v>
      </c>
      <c r="AG147" s="3156" t="s">
        <v>3491</v>
      </c>
      <c r="AH147" s="3156" t="s">
        <v>3392</v>
      </c>
      <c r="AI147" s="3153">
        <v>1145</v>
      </c>
      <c r="AJ147" s="3153">
        <v>44.93</v>
      </c>
      <c r="AK147" s="3153">
        <f t="shared" si="19"/>
        <v>5.99</v>
      </c>
      <c r="AL147" s="3153">
        <f t="shared" si="21"/>
        <v>1333</v>
      </c>
    </row>
    <row r="148" spans="1:38" ht="14.25" thickBot="1">
      <c r="A148" s="3152">
        <v>146</v>
      </c>
      <c r="B148" s="3153" t="s">
        <v>3430</v>
      </c>
      <c r="C148" s="3153">
        <v>1</v>
      </c>
      <c r="D148" s="3153">
        <v>102</v>
      </c>
      <c r="E148" s="3153">
        <v>177.61</v>
      </c>
      <c r="F148" s="3153">
        <f t="shared" si="18"/>
        <v>617.29999999999995</v>
      </c>
      <c r="G148" s="3153">
        <f t="shared" si="20"/>
        <v>34756</v>
      </c>
      <c r="AF148" s="3152">
        <v>146</v>
      </c>
      <c r="AG148" s="3156" t="s">
        <v>3491</v>
      </c>
      <c r="AH148" s="3156" t="s">
        <v>3392</v>
      </c>
      <c r="AI148" s="3153">
        <v>1146</v>
      </c>
      <c r="AJ148" s="3153">
        <v>47.92</v>
      </c>
      <c r="AK148" s="3153">
        <f t="shared" si="19"/>
        <v>6.39</v>
      </c>
      <c r="AL148" s="3153">
        <f t="shared" si="21"/>
        <v>1333</v>
      </c>
    </row>
    <row r="149" spans="1:38" ht="14.25" thickBot="1">
      <c r="A149" s="3152">
        <v>147</v>
      </c>
      <c r="B149" s="3153" t="s">
        <v>3430</v>
      </c>
      <c r="C149" s="3153">
        <v>1</v>
      </c>
      <c r="D149" s="3153">
        <v>301</v>
      </c>
      <c r="E149" s="3153">
        <v>193.85</v>
      </c>
      <c r="F149" s="3153">
        <f t="shared" si="18"/>
        <v>673.7</v>
      </c>
      <c r="G149" s="3153">
        <f t="shared" si="20"/>
        <v>34756</v>
      </c>
      <c r="AF149" s="3152">
        <v>147</v>
      </c>
      <c r="AG149" s="3156" t="s">
        <v>3491</v>
      </c>
      <c r="AH149" s="3156" t="s">
        <v>3392</v>
      </c>
      <c r="AI149" s="3153">
        <v>1147</v>
      </c>
      <c r="AJ149" s="3153">
        <v>47.92</v>
      </c>
      <c r="AK149" s="3153">
        <f t="shared" si="19"/>
        <v>6.39</v>
      </c>
      <c r="AL149" s="3153">
        <f t="shared" si="21"/>
        <v>1333</v>
      </c>
    </row>
    <row r="150" spans="1:38" ht="14.25" thickBot="1">
      <c r="A150" s="3152">
        <v>148</v>
      </c>
      <c r="B150" s="3153" t="s">
        <v>3430</v>
      </c>
      <c r="C150" s="3153">
        <v>1</v>
      </c>
      <c r="D150" s="3153">
        <v>302</v>
      </c>
      <c r="E150" s="3153">
        <v>177.61</v>
      </c>
      <c r="F150" s="3153">
        <f t="shared" si="18"/>
        <v>617.29999999999995</v>
      </c>
      <c r="G150" s="3153">
        <f t="shared" si="20"/>
        <v>34756</v>
      </c>
      <c r="AF150" s="3152">
        <v>148</v>
      </c>
      <c r="AG150" s="3156" t="s">
        <v>3491</v>
      </c>
      <c r="AH150" s="3156" t="s">
        <v>3392</v>
      </c>
      <c r="AI150" s="3153">
        <v>1148</v>
      </c>
      <c r="AJ150" s="3153">
        <v>47.92</v>
      </c>
      <c r="AK150" s="3153">
        <f t="shared" si="19"/>
        <v>6.39</v>
      </c>
      <c r="AL150" s="3153">
        <f t="shared" si="21"/>
        <v>1333</v>
      </c>
    </row>
    <row r="151" spans="1:38" ht="14.25" thickBot="1">
      <c r="A151" s="3152">
        <v>149</v>
      </c>
      <c r="B151" s="3153" t="s">
        <v>3430</v>
      </c>
      <c r="C151" s="3153">
        <v>1</v>
      </c>
      <c r="D151" s="3153">
        <v>501</v>
      </c>
      <c r="E151" s="3153">
        <v>178.3</v>
      </c>
      <c r="F151" s="3153">
        <f t="shared" si="18"/>
        <v>619.70000000000005</v>
      </c>
      <c r="G151" s="3153">
        <f t="shared" si="20"/>
        <v>34756</v>
      </c>
      <c r="AF151" s="3152">
        <v>149</v>
      </c>
      <c r="AG151" s="3156" t="s">
        <v>3491</v>
      </c>
      <c r="AH151" s="3156" t="s">
        <v>3392</v>
      </c>
      <c r="AI151" s="3153">
        <v>1149</v>
      </c>
      <c r="AJ151" s="3153">
        <v>47.92</v>
      </c>
      <c r="AK151" s="3153">
        <f t="shared" si="19"/>
        <v>6.39</v>
      </c>
      <c r="AL151" s="3153">
        <f t="shared" si="21"/>
        <v>1333</v>
      </c>
    </row>
    <row r="152" spans="1:38" ht="14.25" thickBot="1">
      <c r="A152" s="3152">
        <v>150</v>
      </c>
      <c r="B152" s="3153" t="s">
        <v>3430</v>
      </c>
      <c r="C152" s="3153">
        <v>2</v>
      </c>
      <c r="D152" s="3153">
        <v>101</v>
      </c>
      <c r="E152" s="3153">
        <v>177.61</v>
      </c>
      <c r="F152" s="3153">
        <f t="shared" si="18"/>
        <v>617.29999999999995</v>
      </c>
      <c r="G152" s="3153">
        <f t="shared" si="20"/>
        <v>34756</v>
      </c>
      <c r="AF152" s="3152">
        <v>150</v>
      </c>
      <c r="AG152" s="3156" t="s">
        <v>3491</v>
      </c>
      <c r="AH152" s="3156" t="s">
        <v>3392</v>
      </c>
      <c r="AI152" s="3153">
        <v>1150</v>
      </c>
      <c r="AJ152" s="3153">
        <v>47.92</v>
      </c>
      <c r="AK152" s="3153">
        <f t="shared" si="19"/>
        <v>6.39</v>
      </c>
      <c r="AL152" s="3153">
        <f t="shared" si="21"/>
        <v>1333</v>
      </c>
    </row>
    <row r="153" spans="1:38" ht="14.25" thickBot="1">
      <c r="A153" s="3152">
        <v>151</v>
      </c>
      <c r="B153" s="3153" t="s">
        <v>3430</v>
      </c>
      <c r="C153" s="3153">
        <v>2</v>
      </c>
      <c r="D153" s="3153">
        <v>102</v>
      </c>
      <c r="E153" s="3153">
        <v>177.61</v>
      </c>
      <c r="F153" s="3153">
        <f t="shared" si="18"/>
        <v>617.29999999999995</v>
      </c>
      <c r="G153" s="3153">
        <f t="shared" si="20"/>
        <v>34756</v>
      </c>
      <c r="AF153" s="3152">
        <v>151</v>
      </c>
      <c r="AG153" s="3156" t="s">
        <v>3491</v>
      </c>
      <c r="AH153" s="3156" t="s">
        <v>3392</v>
      </c>
      <c r="AI153" s="3153">
        <v>1151</v>
      </c>
      <c r="AJ153" s="3153">
        <v>47.92</v>
      </c>
      <c r="AK153" s="3153">
        <f t="shared" si="19"/>
        <v>6.39</v>
      </c>
      <c r="AL153" s="3153">
        <f t="shared" si="21"/>
        <v>1333</v>
      </c>
    </row>
    <row r="154" spans="1:38" ht="14.25" thickBot="1">
      <c r="A154" s="3152">
        <v>152</v>
      </c>
      <c r="B154" s="3153" t="s">
        <v>3430</v>
      </c>
      <c r="C154" s="3153">
        <v>2</v>
      </c>
      <c r="D154" s="3153">
        <v>301</v>
      </c>
      <c r="E154" s="3153">
        <v>177.61</v>
      </c>
      <c r="F154" s="3153">
        <f t="shared" si="18"/>
        <v>617.29999999999995</v>
      </c>
      <c r="G154" s="3153">
        <f t="shared" si="20"/>
        <v>34756</v>
      </c>
      <c r="AF154" s="3152">
        <v>152</v>
      </c>
      <c r="AG154" s="3156" t="s">
        <v>3491</v>
      </c>
      <c r="AH154" s="3156" t="s">
        <v>3392</v>
      </c>
      <c r="AI154" s="3153">
        <v>1152</v>
      </c>
      <c r="AJ154" s="3153">
        <v>47.92</v>
      </c>
      <c r="AK154" s="3153">
        <f t="shared" si="19"/>
        <v>6.39</v>
      </c>
      <c r="AL154" s="3153">
        <f t="shared" si="21"/>
        <v>1333</v>
      </c>
    </row>
    <row r="155" spans="1:38" ht="14.25" thickBot="1">
      <c r="A155" s="3152">
        <v>153</v>
      </c>
      <c r="B155" s="3153" t="s">
        <v>3430</v>
      </c>
      <c r="C155" s="3153">
        <v>2</v>
      </c>
      <c r="D155" s="3153">
        <v>302</v>
      </c>
      <c r="E155" s="3153">
        <v>177.61</v>
      </c>
      <c r="F155" s="3153">
        <f t="shared" si="18"/>
        <v>617.29999999999995</v>
      </c>
      <c r="G155" s="3153">
        <f t="shared" si="20"/>
        <v>34756</v>
      </c>
      <c r="AF155" s="3152">
        <v>153</v>
      </c>
      <c r="AG155" s="3156" t="s">
        <v>3491</v>
      </c>
      <c r="AH155" s="3156" t="s">
        <v>3392</v>
      </c>
      <c r="AI155" s="3153">
        <v>1153</v>
      </c>
      <c r="AJ155" s="3153">
        <v>47.92</v>
      </c>
      <c r="AK155" s="3153">
        <f t="shared" si="19"/>
        <v>6.39</v>
      </c>
      <c r="AL155" s="3153">
        <f t="shared" si="21"/>
        <v>1333</v>
      </c>
    </row>
    <row r="156" spans="1:38" ht="14.25" thickBot="1">
      <c r="A156" s="3152">
        <v>154</v>
      </c>
      <c r="B156" s="3153" t="s">
        <v>3430</v>
      </c>
      <c r="C156" s="3153">
        <v>2</v>
      </c>
      <c r="D156" s="3153">
        <v>501</v>
      </c>
      <c r="E156" s="3153">
        <v>170.37</v>
      </c>
      <c r="F156" s="3153">
        <f t="shared" si="18"/>
        <v>592.1</v>
      </c>
      <c r="G156" s="3153">
        <f t="shared" si="20"/>
        <v>34756</v>
      </c>
      <c r="AF156" s="3152">
        <v>154</v>
      </c>
      <c r="AG156" s="3156" t="s">
        <v>3491</v>
      </c>
      <c r="AH156" s="3156" t="s">
        <v>3392</v>
      </c>
      <c r="AI156" s="3153">
        <v>1154</v>
      </c>
      <c r="AJ156" s="3153">
        <v>47.92</v>
      </c>
      <c r="AK156" s="3153">
        <f t="shared" si="19"/>
        <v>6.39</v>
      </c>
      <c r="AL156" s="3153">
        <f t="shared" si="21"/>
        <v>1333</v>
      </c>
    </row>
    <row r="157" spans="1:38" ht="14.25" thickBot="1">
      <c r="A157" s="3152">
        <v>155</v>
      </c>
      <c r="B157" s="3153" t="s">
        <v>3430</v>
      </c>
      <c r="C157" s="3153">
        <v>3</v>
      </c>
      <c r="D157" s="3153">
        <v>101</v>
      </c>
      <c r="E157" s="3153">
        <v>177.61</v>
      </c>
      <c r="F157" s="3153">
        <f t="shared" si="18"/>
        <v>617.29999999999995</v>
      </c>
      <c r="G157" s="3153">
        <f t="shared" si="20"/>
        <v>34756</v>
      </c>
      <c r="AF157" s="3152">
        <v>155</v>
      </c>
      <c r="AG157" s="3156" t="s">
        <v>3491</v>
      </c>
      <c r="AH157" s="3156" t="s">
        <v>3392</v>
      </c>
      <c r="AI157" s="3153">
        <v>1155</v>
      </c>
      <c r="AJ157" s="3153">
        <v>47.92</v>
      </c>
      <c r="AK157" s="3153">
        <f t="shared" si="19"/>
        <v>6.39</v>
      </c>
      <c r="AL157" s="3153">
        <f t="shared" si="21"/>
        <v>1333</v>
      </c>
    </row>
    <row r="158" spans="1:38" ht="14.25" thickBot="1">
      <c r="A158" s="3152">
        <v>156</v>
      </c>
      <c r="B158" s="3153" t="s">
        <v>3430</v>
      </c>
      <c r="C158" s="3153">
        <v>3</v>
      </c>
      <c r="D158" s="3153">
        <v>102</v>
      </c>
      <c r="E158" s="3153">
        <v>177.61</v>
      </c>
      <c r="F158" s="3153">
        <f t="shared" si="18"/>
        <v>617.29999999999995</v>
      </c>
      <c r="G158" s="3153">
        <f t="shared" si="20"/>
        <v>34756</v>
      </c>
      <c r="AF158" s="3152">
        <v>156</v>
      </c>
      <c r="AG158" s="3156" t="s">
        <v>3491</v>
      </c>
      <c r="AH158" s="3156" t="s">
        <v>3392</v>
      </c>
      <c r="AI158" s="3153">
        <v>1156</v>
      </c>
      <c r="AJ158" s="3153">
        <v>47.92</v>
      </c>
      <c r="AK158" s="3153">
        <f t="shared" si="19"/>
        <v>6.39</v>
      </c>
      <c r="AL158" s="3153">
        <f t="shared" si="21"/>
        <v>1333</v>
      </c>
    </row>
    <row r="159" spans="1:38" ht="14.25" thickBot="1">
      <c r="A159" s="3152">
        <v>157</v>
      </c>
      <c r="B159" s="3153" t="s">
        <v>3430</v>
      </c>
      <c r="C159" s="3153">
        <v>3</v>
      </c>
      <c r="D159" s="3153">
        <v>301</v>
      </c>
      <c r="E159" s="3153">
        <v>177.61</v>
      </c>
      <c r="F159" s="3153">
        <f t="shared" si="18"/>
        <v>617.29999999999995</v>
      </c>
      <c r="G159" s="3153">
        <f t="shared" si="20"/>
        <v>34756</v>
      </c>
      <c r="AF159" s="3152">
        <v>157</v>
      </c>
      <c r="AG159" s="3156" t="s">
        <v>3491</v>
      </c>
      <c r="AH159" s="3156" t="s">
        <v>3392</v>
      </c>
      <c r="AI159" s="3153">
        <v>1157</v>
      </c>
      <c r="AJ159" s="3153">
        <v>47.92</v>
      </c>
      <c r="AK159" s="3153">
        <f t="shared" si="19"/>
        <v>6.39</v>
      </c>
      <c r="AL159" s="3153">
        <f t="shared" si="21"/>
        <v>1333</v>
      </c>
    </row>
    <row r="160" spans="1:38" ht="14.25" thickBot="1">
      <c r="A160" s="3152">
        <v>158</v>
      </c>
      <c r="B160" s="3153" t="s">
        <v>3430</v>
      </c>
      <c r="C160" s="3153">
        <v>3</v>
      </c>
      <c r="D160" s="3153">
        <v>302</v>
      </c>
      <c r="E160" s="3153">
        <v>177.61</v>
      </c>
      <c r="F160" s="3153">
        <f t="shared" si="18"/>
        <v>617.29999999999995</v>
      </c>
      <c r="G160" s="3153">
        <f t="shared" si="20"/>
        <v>34756</v>
      </c>
      <c r="AF160" s="3152">
        <v>158</v>
      </c>
      <c r="AG160" s="3156" t="s">
        <v>3491</v>
      </c>
      <c r="AH160" s="3156" t="s">
        <v>3392</v>
      </c>
      <c r="AI160" s="3153">
        <v>1158</v>
      </c>
      <c r="AJ160" s="3153">
        <v>44.93</v>
      </c>
      <c r="AK160" s="3153">
        <f t="shared" si="19"/>
        <v>5.99</v>
      </c>
      <c r="AL160" s="3153">
        <f t="shared" si="21"/>
        <v>1333</v>
      </c>
    </row>
    <row r="161" spans="1:38" ht="14.25" thickBot="1">
      <c r="A161" s="3152">
        <v>159</v>
      </c>
      <c r="B161" s="3153" t="s">
        <v>3430</v>
      </c>
      <c r="C161" s="3153">
        <v>3</v>
      </c>
      <c r="D161" s="3153">
        <v>501</v>
      </c>
      <c r="E161" s="3153">
        <v>170.37</v>
      </c>
      <c r="F161" s="3153">
        <f t="shared" si="18"/>
        <v>592.1</v>
      </c>
      <c r="G161" s="3153">
        <f t="shared" si="20"/>
        <v>34756</v>
      </c>
      <c r="AF161" s="3152">
        <v>159</v>
      </c>
      <c r="AG161" s="3156" t="s">
        <v>3491</v>
      </c>
      <c r="AH161" s="3156" t="s">
        <v>3392</v>
      </c>
      <c r="AI161" s="3153">
        <v>1159</v>
      </c>
      <c r="AJ161" s="3153">
        <v>44.93</v>
      </c>
      <c r="AK161" s="3153">
        <f t="shared" si="19"/>
        <v>5.99</v>
      </c>
      <c r="AL161" s="3153">
        <f t="shared" si="21"/>
        <v>1333</v>
      </c>
    </row>
    <row r="162" spans="1:38" ht="14.25" thickBot="1">
      <c r="A162" s="3152">
        <v>160</v>
      </c>
      <c r="B162" s="3153" t="s">
        <v>3430</v>
      </c>
      <c r="C162" s="3153">
        <v>4</v>
      </c>
      <c r="D162" s="3153">
        <v>101</v>
      </c>
      <c r="E162" s="3153">
        <v>177.61</v>
      </c>
      <c r="F162" s="3153">
        <f t="shared" si="18"/>
        <v>617.29999999999995</v>
      </c>
      <c r="G162" s="3153">
        <f t="shared" si="20"/>
        <v>34756</v>
      </c>
      <c r="AF162" s="3152">
        <v>160</v>
      </c>
      <c r="AG162" s="3156" t="s">
        <v>3491</v>
      </c>
      <c r="AH162" s="3156" t="s">
        <v>3392</v>
      </c>
      <c r="AI162" s="3153">
        <v>1160</v>
      </c>
      <c r="AJ162" s="3153">
        <v>47.92</v>
      </c>
      <c r="AK162" s="3153">
        <f t="shared" si="19"/>
        <v>6.39</v>
      </c>
      <c r="AL162" s="3153">
        <f t="shared" si="21"/>
        <v>1333</v>
      </c>
    </row>
    <row r="163" spans="1:38" ht="14.25" thickBot="1">
      <c r="A163" s="3152">
        <v>161</v>
      </c>
      <c r="B163" s="3153" t="s">
        <v>3430</v>
      </c>
      <c r="C163" s="3153">
        <v>4</v>
      </c>
      <c r="D163" s="3153">
        <v>102</v>
      </c>
      <c r="E163" s="3153">
        <v>193.85</v>
      </c>
      <c r="F163" s="3153">
        <f t="shared" si="18"/>
        <v>673.7</v>
      </c>
      <c r="G163" s="3153">
        <f t="shared" si="20"/>
        <v>34756</v>
      </c>
      <c r="AF163" s="3152">
        <v>161</v>
      </c>
      <c r="AG163" s="3156" t="s">
        <v>3491</v>
      </c>
      <c r="AH163" s="3156" t="s">
        <v>3392</v>
      </c>
      <c r="AI163" s="3153">
        <v>1161</v>
      </c>
      <c r="AJ163" s="3153">
        <v>47.92</v>
      </c>
      <c r="AK163" s="3153">
        <f t="shared" si="19"/>
        <v>6.39</v>
      </c>
      <c r="AL163" s="3153">
        <f t="shared" si="21"/>
        <v>1333</v>
      </c>
    </row>
    <row r="164" spans="1:38" ht="14.25" thickBot="1">
      <c r="A164" s="3152">
        <v>162</v>
      </c>
      <c r="B164" s="3153" t="s">
        <v>3430</v>
      </c>
      <c r="C164" s="3153">
        <v>4</v>
      </c>
      <c r="D164" s="3153">
        <v>301</v>
      </c>
      <c r="E164" s="3153">
        <v>177.61</v>
      </c>
      <c r="F164" s="3153">
        <f t="shared" si="18"/>
        <v>617.29999999999995</v>
      </c>
      <c r="G164" s="3153">
        <f t="shared" si="20"/>
        <v>34756</v>
      </c>
      <c r="AF164" s="3152">
        <v>162</v>
      </c>
      <c r="AG164" s="3156" t="s">
        <v>3491</v>
      </c>
      <c r="AH164" s="3156" t="s">
        <v>3392</v>
      </c>
      <c r="AI164" s="3153">
        <v>1162</v>
      </c>
      <c r="AJ164" s="3153">
        <v>47.92</v>
      </c>
      <c r="AK164" s="3153">
        <f t="shared" si="19"/>
        <v>6.39</v>
      </c>
      <c r="AL164" s="3153">
        <f t="shared" si="21"/>
        <v>1333</v>
      </c>
    </row>
    <row r="165" spans="1:38" ht="14.25" thickBot="1">
      <c r="A165" s="3152">
        <v>163</v>
      </c>
      <c r="B165" s="3153" t="s">
        <v>3430</v>
      </c>
      <c r="C165" s="3153">
        <v>4</v>
      </c>
      <c r="D165" s="3153">
        <v>302</v>
      </c>
      <c r="E165" s="3153">
        <v>193.85</v>
      </c>
      <c r="F165" s="3153">
        <f t="shared" si="18"/>
        <v>673.7</v>
      </c>
      <c r="G165" s="3153">
        <f t="shared" si="20"/>
        <v>34756</v>
      </c>
      <c r="AF165" s="3152">
        <v>163</v>
      </c>
      <c r="AG165" s="3156" t="s">
        <v>3491</v>
      </c>
      <c r="AH165" s="3156" t="s">
        <v>3392</v>
      </c>
      <c r="AI165" s="3153">
        <v>1163</v>
      </c>
      <c r="AJ165" s="3153">
        <v>47.92</v>
      </c>
      <c r="AK165" s="3153">
        <f t="shared" si="19"/>
        <v>6.39</v>
      </c>
      <c r="AL165" s="3153">
        <f t="shared" si="21"/>
        <v>1333</v>
      </c>
    </row>
    <row r="166" spans="1:38" ht="14.25" thickBot="1">
      <c r="A166" s="3152">
        <v>164</v>
      </c>
      <c r="B166" s="3153" t="s">
        <v>3430</v>
      </c>
      <c r="C166" s="3153">
        <v>4</v>
      </c>
      <c r="D166" s="3153">
        <v>501</v>
      </c>
      <c r="E166" s="3153">
        <v>178.3</v>
      </c>
      <c r="F166" s="3153">
        <f t="shared" si="18"/>
        <v>619.70000000000005</v>
      </c>
      <c r="G166" s="3153">
        <f t="shared" si="20"/>
        <v>34756</v>
      </c>
      <c r="AF166" s="3152">
        <v>164</v>
      </c>
      <c r="AG166" s="3156" t="s">
        <v>3491</v>
      </c>
      <c r="AH166" s="3156" t="s">
        <v>3392</v>
      </c>
      <c r="AI166" s="3153">
        <v>1164</v>
      </c>
      <c r="AJ166" s="3153">
        <v>47.92</v>
      </c>
      <c r="AK166" s="3153">
        <f t="shared" si="19"/>
        <v>6.39</v>
      </c>
      <c r="AL166" s="3153">
        <f t="shared" si="21"/>
        <v>1333</v>
      </c>
    </row>
    <row r="167" spans="1:38" ht="14.25" thickBot="1">
      <c r="A167" s="3152">
        <v>165</v>
      </c>
      <c r="B167" s="3153" t="s">
        <v>3431</v>
      </c>
      <c r="C167" s="3153">
        <v>1</v>
      </c>
      <c r="D167" s="3153">
        <v>101</v>
      </c>
      <c r="E167" s="3153">
        <v>193.85</v>
      </c>
      <c r="F167" s="3153">
        <f t="shared" si="18"/>
        <v>673.7</v>
      </c>
      <c r="G167" s="3153">
        <f t="shared" si="20"/>
        <v>34756</v>
      </c>
      <c r="AF167" s="3152">
        <v>165</v>
      </c>
      <c r="AG167" s="3156" t="s">
        <v>3491</v>
      </c>
      <c r="AH167" s="3156" t="s">
        <v>3392</v>
      </c>
      <c r="AI167" s="3153">
        <v>1165</v>
      </c>
      <c r="AJ167" s="3153">
        <v>47.92</v>
      </c>
      <c r="AK167" s="3153">
        <f t="shared" si="19"/>
        <v>6.39</v>
      </c>
      <c r="AL167" s="3153">
        <f t="shared" si="21"/>
        <v>1333</v>
      </c>
    </row>
    <row r="168" spans="1:38" ht="14.25" thickBot="1">
      <c r="A168" s="3152">
        <v>166</v>
      </c>
      <c r="B168" s="3153" t="s">
        <v>3431</v>
      </c>
      <c r="C168" s="3153">
        <v>1</v>
      </c>
      <c r="D168" s="3153">
        <v>102</v>
      </c>
      <c r="E168" s="3153">
        <v>177.61</v>
      </c>
      <c r="F168" s="3153">
        <f t="shared" si="18"/>
        <v>617.29999999999995</v>
      </c>
      <c r="G168" s="3153">
        <f t="shared" si="20"/>
        <v>34756</v>
      </c>
      <c r="AF168" s="3152">
        <v>166</v>
      </c>
      <c r="AG168" s="3156" t="s">
        <v>3491</v>
      </c>
      <c r="AH168" s="3156" t="s">
        <v>3392</v>
      </c>
      <c r="AI168" s="3153">
        <v>1166</v>
      </c>
      <c r="AJ168" s="3153">
        <v>44.93</v>
      </c>
      <c r="AK168" s="3153">
        <f t="shared" si="19"/>
        <v>5.99</v>
      </c>
      <c r="AL168" s="3153">
        <f t="shared" si="21"/>
        <v>1333</v>
      </c>
    </row>
    <row r="169" spans="1:38" ht="14.25" thickBot="1">
      <c r="A169" s="3152">
        <v>167</v>
      </c>
      <c r="B169" s="3153" t="s">
        <v>3431</v>
      </c>
      <c r="C169" s="3153">
        <v>1</v>
      </c>
      <c r="D169" s="3153">
        <v>301</v>
      </c>
      <c r="E169" s="3153">
        <v>193.85</v>
      </c>
      <c r="F169" s="3153">
        <f t="shared" si="18"/>
        <v>673.7</v>
      </c>
      <c r="G169" s="3153">
        <f t="shared" si="20"/>
        <v>34756</v>
      </c>
      <c r="AF169" s="3152">
        <v>167</v>
      </c>
      <c r="AG169" s="3156" t="s">
        <v>3491</v>
      </c>
      <c r="AH169" s="3156" t="s">
        <v>3392</v>
      </c>
      <c r="AI169" s="3153">
        <v>1167</v>
      </c>
      <c r="AJ169" s="3153">
        <v>47.92</v>
      </c>
      <c r="AK169" s="3153">
        <f t="shared" si="19"/>
        <v>6.39</v>
      </c>
      <c r="AL169" s="3153">
        <f t="shared" si="21"/>
        <v>1333</v>
      </c>
    </row>
    <row r="170" spans="1:38" ht="14.25" thickBot="1">
      <c r="A170" s="3152">
        <v>168</v>
      </c>
      <c r="B170" s="3153" t="s">
        <v>3431</v>
      </c>
      <c r="C170" s="3153">
        <v>1</v>
      </c>
      <c r="D170" s="3153">
        <v>302</v>
      </c>
      <c r="E170" s="3153">
        <v>177.61</v>
      </c>
      <c r="F170" s="3153">
        <f t="shared" si="18"/>
        <v>617.29999999999995</v>
      </c>
      <c r="G170" s="3153">
        <f t="shared" si="20"/>
        <v>34756</v>
      </c>
      <c r="AF170" s="3152">
        <v>168</v>
      </c>
      <c r="AG170" s="3156" t="s">
        <v>3491</v>
      </c>
      <c r="AH170" s="3156" t="s">
        <v>3392</v>
      </c>
      <c r="AI170" s="3153">
        <v>1168</v>
      </c>
      <c r="AJ170" s="3153">
        <v>47.92</v>
      </c>
      <c r="AK170" s="3153">
        <f t="shared" si="19"/>
        <v>6.39</v>
      </c>
      <c r="AL170" s="3153">
        <f t="shared" si="21"/>
        <v>1333</v>
      </c>
    </row>
    <row r="171" spans="1:38" ht="14.25" thickBot="1">
      <c r="A171" s="3152">
        <v>169</v>
      </c>
      <c r="B171" s="3153" t="s">
        <v>3431</v>
      </c>
      <c r="C171" s="3153">
        <v>1</v>
      </c>
      <c r="D171" s="3153">
        <v>501</v>
      </c>
      <c r="E171" s="3153">
        <v>178.3</v>
      </c>
      <c r="F171" s="3153">
        <f t="shared" si="18"/>
        <v>619.70000000000005</v>
      </c>
      <c r="G171" s="3153">
        <f t="shared" si="20"/>
        <v>34756</v>
      </c>
      <c r="AF171" s="3152">
        <v>169</v>
      </c>
      <c r="AG171" s="3156" t="s">
        <v>3491</v>
      </c>
      <c r="AH171" s="3156" t="s">
        <v>3392</v>
      </c>
      <c r="AI171" s="3153">
        <v>1169</v>
      </c>
      <c r="AJ171" s="3153">
        <v>47.92</v>
      </c>
      <c r="AK171" s="3153">
        <f t="shared" si="19"/>
        <v>6.39</v>
      </c>
      <c r="AL171" s="3153">
        <f t="shared" si="21"/>
        <v>1333</v>
      </c>
    </row>
    <row r="172" spans="1:38" ht="14.25" thickBot="1">
      <c r="A172" s="3152">
        <v>170</v>
      </c>
      <c r="B172" s="3153" t="s">
        <v>3431</v>
      </c>
      <c r="C172" s="3153">
        <v>2</v>
      </c>
      <c r="D172" s="3153">
        <v>101</v>
      </c>
      <c r="E172" s="3153">
        <v>177.61</v>
      </c>
      <c r="F172" s="3153">
        <f t="shared" si="18"/>
        <v>617.29999999999995</v>
      </c>
      <c r="G172" s="3153">
        <f t="shared" si="20"/>
        <v>34756</v>
      </c>
      <c r="AF172" s="3152">
        <v>170</v>
      </c>
      <c r="AG172" s="3156" t="s">
        <v>3491</v>
      </c>
      <c r="AH172" s="3156" t="s">
        <v>3392</v>
      </c>
      <c r="AI172" s="3153">
        <v>1170</v>
      </c>
      <c r="AJ172" s="3153">
        <v>47.92</v>
      </c>
      <c r="AK172" s="3153">
        <f t="shared" si="19"/>
        <v>6.39</v>
      </c>
      <c r="AL172" s="3153">
        <f t="shared" si="21"/>
        <v>1333</v>
      </c>
    </row>
    <row r="173" spans="1:38" ht="14.25" thickBot="1">
      <c r="A173" s="3152">
        <v>171</v>
      </c>
      <c r="B173" s="3153" t="s">
        <v>3431</v>
      </c>
      <c r="C173" s="3153">
        <v>2</v>
      </c>
      <c r="D173" s="3153">
        <v>102</v>
      </c>
      <c r="E173" s="3153">
        <v>177.61</v>
      </c>
      <c r="F173" s="3153">
        <f t="shared" si="18"/>
        <v>617.29999999999995</v>
      </c>
      <c r="G173" s="3153">
        <f t="shared" si="20"/>
        <v>34756</v>
      </c>
      <c r="AF173" s="3152">
        <v>171</v>
      </c>
      <c r="AG173" s="3156" t="s">
        <v>3491</v>
      </c>
      <c r="AH173" s="3156" t="s">
        <v>3392</v>
      </c>
      <c r="AI173" s="3153">
        <v>1171</v>
      </c>
      <c r="AJ173" s="3153">
        <v>47.92</v>
      </c>
      <c r="AK173" s="3153">
        <f t="shared" si="19"/>
        <v>6.39</v>
      </c>
      <c r="AL173" s="3153">
        <f t="shared" si="21"/>
        <v>1333</v>
      </c>
    </row>
    <row r="174" spans="1:38" ht="14.25" thickBot="1">
      <c r="A174" s="3152">
        <v>172</v>
      </c>
      <c r="B174" s="3153" t="s">
        <v>3431</v>
      </c>
      <c r="C174" s="3153">
        <v>2</v>
      </c>
      <c r="D174" s="3153">
        <v>301</v>
      </c>
      <c r="E174" s="3153">
        <v>177.61</v>
      </c>
      <c r="F174" s="3153">
        <f t="shared" si="18"/>
        <v>617.29999999999995</v>
      </c>
      <c r="G174" s="3153">
        <f t="shared" si="20"/>
        <v>34756</v>
      </c>
      <c r="AF174" s="3152">
        <v>172</v>
      </c>
      <c r="AG174" s="3156" t="s">
        <v>3491</v>
      </c>
      <c r="AH174" s="3156" t="s">
        <v>3392</v>
      </c>
      <c r="AI174" s="3153">
        <v>1172</v>
      </c>
      <c r="AJ174" s="3153">
        <v>47.92</v>
      </c>
      <c r="AK174" s="3153">
        <f t="shared" si="19"/>
        <v>6.39</v>
      </c>
      <c r="AL174" s="3153">
        <f t="shared" si="21"/>
        <v>1333</v>
      </c>
    </row>
    <row r="175" spans="1:38" ht="14.25" thickBot="1">
      <c r="A175" s="3152">
        <v>173</v>
      </c>
      <c r="B175" s="3153" t="s">
        <v>3431</v>
      </c>
      <c r="C175" s="3153">
        <v>2</v>
      </c>
      <c r="D175" s="3153">
        <v>302</v>
      </c>
      <c r="E175" s="3153">
        <v>177.61</v>
      </c>
      <c r="F175" s="3153">
        <f t="shared" si="18"/>
        <v>617.29999999999995</v>
      </c>
      <c r="G175" s="3153">
        <f t="shared" si="20"/>
        <v>34756</v>
      </c>
      <c r="AF175" s="3152">
        <v>173</v>
      </c>
      <c r="AG175" s="3156" t="s">
        <v>3491</v>
      </c>
      <c r="AH175" s="3156" t="s">
        <v>3392</v>
      </c>
      <c r="AI175" s="3153">
        <v>1173</v>
      </c>
      <c r="AJ175" s="3153">
        <v>47.92</v>
      </c>
      <c r="AK175" s="3153">
        <f t="shared" si="19"/>
        <v>6.39</v>
      </c>
      <c r="AL175" s="3153">
        <f t="shared" si="21"/>
        <v>1333</v>
      </c>
    </row>
    <row r="176" spans="1:38" ht="14.25" thickBot="1">
      <c r="A176" s="3152">
        <v>174</v>
      </c>
      <c r="B176" s="3153" t="s">
        <v>3431</v>
      </c>
      <c r="C176" s="3153">
        <v>2</v>
      </c>
      <c r="D176" s="3153">
        <v>501</v>
      </c>
      <c r="E176" s="3153">
        <v>170.37</v>
      </c>
      <c r="F176" s="3153">
        <f t="shared" si="18"/>
        <v>592.1</v>
      </c>
      <c r="G176" s="3153">
        <f t="shared" si="20"/>
        <v>34756</v>
      </c>
      <c r="AF176" s="3152">
        <v>174</v>
      </c>
      <c r="AG176" s="3156" t="s">
        <v>3491</v>
      </c>
      <c r="AH176" s="3156" t="s">
        <v>3392</v>
      </c>
      <c r="AI176" s="3153">
        <v>1174</v>
      </c>
      <c r="AJ176" s="3153">
        <v>47.92</v>
      </c>
      <c r="AK176" s="3153">
        <f t="shared" si="19"/>
        <v>6.39</v>
      </c>
      <c r="AL176" s="3153">
        <f t="shared" si="21"/>
        <v>1333</v>
      </c>
    </row>
    <row r="177" spans="1:38" ht="14.25" thickBot="1">
      <c r="A177" s="3152">
        <v>175</v>
      </c>
      <c r="B177" s="3153" t="s">
        <v>3431</v>
      </c>
      <c r="C177" s="3153">
        <v>3</v>
      </c>
      <c r="D177" s="3153">
        <v>101</v>
      </c>
      <c r="E177" s="3153">
        <v>177.61</v>
      </c>
      <c r="F177" s="3153">
        <f t="shared" si="18"/>
        <v>617.29999999999995</v>
      </c>
      <c r="G177" s="3153">
        <f t="shared" si="20"/>
        <v>34756</v>
      </c>
      <c r="AF177" s="3152">
        <v>175</v>
      </c>
      <c r="AG177" s="3156" t="s">
        <v>3491</v>
      </c>
      <c r="AH177" s="3156" t="s">
        <v>3392</v>
      </c>
      <c r="AI177" s="3153">
        <v>1175</v>
      </c>
      <c r="AJ177" s="3153">
        <v>47.92</v>
      </c>
      <c r="AK177" s="3153">
        <f t="shared" si="19"/>
        <v>6.39</v>
      </c>
      <c r="AL177" s="3153">
        <f t="shared" si="21"/>
        <v>1333</v>
      </c>
    </row>
    <row r="178" spans="1:38" ht="14.25" thickBot="1">
      <c r="A178" s="3152">
        <v>176</v>
      </c>
      <c r="B178" s="3153" t="s">
        <v>3431</v>
      </c>
      <c r="C178" s="3153">
        <v>3</v>
      </c>
      <c r="D178" s="3153">
        <v>102</v>
      </c>
      <c r="E178" s="3153">
        <v>177.61</v>
      </c>
      <c r="F178" s="3153">
        <f t="shared" si="18"/>
        <v>617.29999999999995</v>
      </c>
      <c r="G178" s="3153">
        <f t="shared" si="20"/>
        <v>34756</v>
      </c>
      <c r="AF178" s="3152">
        <v>176</v>
      </c>
      <c r="AG178" s="3156" t="s">
        <v>3491</v>
      </c>
      <c r="AH178" s="3156" t="s">
        <v>3392</v>
      </c>
      <c r="AI178" s="3153">
        <v>1176</v>
      </c>
      <c r="AJ178" s="3153">
        <v>47.92</v>
      </c>
      <c r="AK178" s="3153">
        <f t="shared" si="19"/>
        <v>6.39</v>
      </c>
      <c r="AL178" s="3153">
        <f t="shared" si="21"/>
        <v>1333</v>
      </c>
    </row>
    <row r="179" spans="1:38" ht="14.25" thickBot="1">
      <c r="A179" s="3152">
        <v>177</v>
      </c>
      <c r="B179" s="3153" t="s">
        <v>3431</v>
      </c>
      <c r="C179" s="3153">
        <v>3</v>
      </c>
      <c r="D179" s="3153">
        <v>301</v>
      </c>
      <c r="E179" s="3153">
        <v>177.61</v>
      </c>
      <c r="F179" s="3153">
        <f t="shared" si="18"/>
        <v>617.29999999999995</v>
      </c>
      <c r="G179" s="3153">
        <f t="shared" si="20"/>
        <v>34756</v>
      </c>
      <c r="AF179" s="3152">
        <v>177</v>
      </c>
      <c r="AG179" s="3156" t="s">
        <v>3491</v>
      </c>
      <c r="AH179" s="3156" t="s">
        <v>3392</v>
      </c>
      <c r="AI179" s="3153">
        <v>1177</v>
      </c>
      <c r="AJ179" s="3153">
        <v>47.92</v>
      </c>
      <c r="AK179" s="3153">
        <f t="shared" si="19"/>
        <v>6.39</v>
      </c>
      <c r="AL179" s="3153">
        <f t="shared" si="21"/>
        <v>1333</v>
      </c>
    </row>
    <row r="180" spans="1:38" ht="14.25" thickBot="1">
      <c r="A180" s="3152">
        <v>178</v>
      </c>
      <c r="B180" s="3153" t="s">
        <v>3431</v>
      </c>
      <c r="C180" s="3153">
        <v>3</v>
      </c>
      <c r="D180" s="3153">
        <v>302</v>
      </c>
      <c r="E180" s="3153">
        <v>177.61</v>
      </c>
      <c r="F180" s="3153">
        <f t="shared" si="18"/>
        <v>617.29999999999995</v>
      </c>
      <c r="G180" s="3153">
        <f t="shared" si="20"/>
        <v>34756</v>
      </c>
      <c r="AF180" s="3152">
        <v>178</v>
      </c>
      <c r="AG180" s="3156" t="s">
        <v>3491</v>
      </c>
      <c r="AH180" s="3156" t="s">
        <v>3392</v>
      </c>
      <c r="AI180" s="3153">
        <v>1178</v>
      </c>
      <c r="AJ180" s="3153">
        <v>47.92</v>
      </c>
      <c r="AK180" s="3153">
        <f t="shared" si="19"/>
        <v>6.39</v>
      </c>
      <c r="AL180" s="3153">
        <f t="shared" si="21"/>
        <v>1333</v>
      </c>
    </row>
    <row r="181" spans="1:38" ht="14.25" thickBot="1">
      <c r="A181" s="3152">
        <v>179</v>
      </c>
      <c r="B181" s="3153" t="s">
        <v>3431</v>
      </c>
      <c r="C181" s="3153">
        <v>3</v>
      </c>
      <c r="D181" s="3153">
        <v>501</v>
      </c>
      <c r="E181" s="3153">
        <v>170.37</v>
      </c>
      <c r="F181" s="3153">
        <f t="shared" si="18"/>
        <v>592.1</v>
      </c>
      <c r="G181" s="3153">
        <f t="shared" si="20"/>
        <v>34756</v>
      </c>
      <c r="AF181" s="3152">
        <v>179</v>
      </c>
      <c r="AG181" s="3156" t="s">
        <v>3491</v>
      </c>
      <c r="AH181" s="3156" t="s">
        <v>3392</v>
      </c>
      <c r="AI181" s="3153">
        <v>1179</v>
      </c>
      <c r="AJ181" s="3153">
        <v>47.92</v>
      </c>
      <c r="AK181" s="3153">
        <f t="shared" si="19"/>
        <v>6.39</v>
      </c>
      <c r="AL181" s="3153">
        <f t="shared" si="21"/>
        <v>1333</v>
      </c>
    </row>
    <row r="182" spans="1:38" ht="14.25" thickBot="1">
      <c r="A182" s="3152">
        <v>180</v>
      </c>
      <c r="B182" s="3153" t="s">
        <v>3431</v>
      </c>
      <c r="C182" s="3153">
        <v>4</v>
      </c>
      <c r="D182" s="3153">
        <v>101</v>
      </c>
      <c r="E182" s="3153">
        <v>177.61</v>
      </c>
      <c r="F182" s="3153">
        <f t="shared" si="18"/>
        <v>617.29999999999995</v>
      </c>
      <c r="G182" s="3153">
        <f t="shared" si="20"/>
        <v>34756</v>
      </c>
      <c r="AF182" s="3152">
        <v>180</v>
      </c>
      <c r="AG182" s="3156" t="s">
        <v>3491</v>
      </c>
      <c r="AH182" s="3156" t="s">
        <v>3392</v>
      </c>
      <c r="AI182" s="3153">
        <v>1180</v>
      </c>
      <c r="AJ182" s="3153">
        <v>47.92</v>
      </c>
      <c r="AK182" s="3153">
        <f t="shared" si="19"/>
        <v>6.39</v>
      </c>
      <c r="AL182" s="3153">
        <f t="shared" si="21"/>
        <v>1333</v>
      </c>
    </row>
    <row r="183" spans="1:38" ht="14.25" thickBot="1">
      <c r="A183" s="3152">
        <v>181</v>
      </c>
      <c r="B183" s="3153" t="s">
        <v>3431</v>
      </c>
      <c r="C183" s="3153">
        <v>4</v>
      </c>
      <c r="D183" s="3153">
        <v>102</v>
      </c>
      <c r="E183" s="3153">
        <v>193.85</v>
      </c>
      <c r="F183" s="3153">
        <f t="shared" si="18"/>
        <v>673.7</v>
      </c>
      <c r="G183" s="3153">
        <f t="shared" si="20"/>
        <v>34756</v>
      </c>
      <c r="AF183" s="3152">
        <v>181</v>
      </c>
      <c r="AG183" s="3156" t="s">
        <v>3491</v>
      </c>
      <c r="AH183" s="3156" t="s">
        <v>3392</v>
      </c>
      <c r="AI183" s="3153">
        <v>1181</v>
      </c>
      <c r="AJ183" s="3153">
        <v>47.92</v>
      </c>
      <c r="AK183" s="3153">
        <f t="shared" si="19"/>
        <v>6.39</v>
      </c>
      <c r="AL183" s="3153">
        <f t="shared" si="21"/>
        <v>1333</v>
      </c>
    </row>
    <row r="184" spans="1:38" ht="14.25" thickBot="1">
      <c r="A184" s="3152">
        <v>182</v>
      </c>
      <c r="B184" s="3153" t="s">
        <v>3431</v>
      </c>
      <c r="C184" s="3153">
        <v>4</v>
      </c>
      <c r="D184" s="3153">
        <v>301</v>
      </c>
      <c r="E184" s="3153">
        <v>177.61</v>
      </c>
      <c r="F184" s="3153">
        <f t="shared" si="18"/>
        <v>617.29999999999995</v>
      </c>
      <c r="G184" s="3153">
        <f t="shared" si="20"/>
        <v>34756</v>
      </c>
      <c r="AF184" s="3152">
        <v>182</v>
      </c>
      <c r="AG184" s="3156" t="s">
        <v>3491</v>
      </c>
      <c r="AH184" s="3156" t="s">
        <v>3392</v>
      </c>
      <c r="AI184" s="3153">
        <v>1182</v>
      </c>
      <c r="AJ184" s="3153">
        <v>47.92</v>
      </c>
      <c r="AK184" s="3153">
        <f t="shared" si="19"/>
        <v>6.39</v>
      </c>
      <c r="AL184" s="3153">
        <f t="shared" si="21"/>
        <v>1333</v>
      </c>
    </row>
    <row r="185" spans="1:38" ht="14.25" thickBot="1">
      <c r="A185" s="3152">
        <v>183</v>
      </c>
      <c r="B185" s="3153" t="s">
        <v>3431</v>
      </c>
      <c r="C185" s="3153">
        <v>4</v>
      </c>
      <c r="D185" s="3153">
        <v>302</v>
      </c>
      <c r="E185" s="3153">
        <v>193.85</v>
      </c>
      <c r="F185" s="3153">
        <f t="shared" si="18"/>
        <v>673.7</v>
      </c>
      <c r="G185" s="3153">
        <f t="shared" si="20"/>
        <v>34756</v>
      </c>
      <c r="AF185" s="3152">
        <v>183</v>
      </c>
      <c r="AG185" s="3156" t="s">
        <v>3491</v>
      </c>
      <c r="AH185" s="3156" t="s">
        <v>3392</v>
      </c>
      <c r="AI185" s="3153">
        <v>1183</v>
      </c>
      <c r="AJ185" s="3153">
        <v>47.92</v>
      </c>
      <c r="AK185" s="3153">
        <f t="shared" si="19"/>
        <v>6.39</v>
      </c>
      <c r="AL185" s="3153">
        <f t="shared" si="21"/>
        <v>1333</v>
      </c>
    </row>
    <row r="186" spans="1:38" ht="14.25" thickBot="1">
      <c r="A186" s="3152">
        <v>184</v>
      </c>
      <c r="B186" s="3153" t="s">
        <v>3431</v>
      </c>
      <c r="C186" s="3153">
        <v>4</v>
      </c>
      <c r="D186" s="3153">
        <v>501</v>
      </c>
      <c r="E186" s="3153">
        <v>178.3</v>
      </c>
      <c r="F186" s="3153">
        <f t="shared" si="18"/>
        <v>619.70000000000005</v>
      </c>
      <c r="G186" s="3153">
        <f t="shared" si="20"/>
        <v>34756</v>
      </c>
      <c r="AF186" s="3152">
        <v>184</v>
      </c>
      <c r="AG186" s="3156" t="s">
        <v>3491</v>
      </c>
      <c r="AH186" s="3156" t="s">
        <v>3392</v>
      </c>
      <c r="AI186" s="3153">
        <v>1184</v>
      </c>
      <c r="AJ186" s="3153">
        <v>47.92</v>
      </c>
      <c r="AK186" s="3153">
        <f t="shared" si="19"/>
        <v>6.39</v>
      </c>
      <c r="AL186" s="3153">
        <f t="shared" si="21"/>
        <v>1333</v>
      </c>
    </row>
    <row r="187" spans="1:38" ht="14.25" thickBot="1">
      <c r="A187" s="3152">
        <v>185</v>
      </c>
      <c r="B187" s="3153" t="s">
        <v>3432</v>
      </c>
      <c r="C187" s="3153">
        <v>1</v>
      </c>
      <c r="D187" s="3153">
        <v>101</v>
      </c>
      <c r="E187" s="3153">
        <v>193.85</v>
      </c>
      <c r="F187" s="3153">
        <f t="shared" si="18"/>
        <v>673.7</v>
      </c>
      <c r="G187" s="3153">
        <f t="shared" si="20"/>
        <v>34756</v>
      </c>
      <c r="AF187" s="3152">
        <v>185</v>
      </c>
      <c r="AG187" s="3156" t="s">
        <v>3491</v>
      </c>
      <c r="AH187" s="3156" t="s">
        <v>3392</v>
      </c>
      <c r="AI187" s="3153">
        <v>1185</v>
      </c>
      <c r="AJ187" s="3153">
        <v>44.93</v>
      </c>
      <c r="AK187" s="3153">
        <f t="shared" si="19"/>
        <v>5.99</v>
      </c>
      <c r="AL187" s="3153">
        <f t="shared" si="21"/>
        <v>1333</v>
      </c>
    </row>
    <row r="188" spans="1:38" ht="14.25" thickBot="1">
      <c r="A188" s="3152">
        <v>186</v>
      </c>
      <c r="B188" s="3153" t="s">
        <v>3432</v>
      </c>
      <c r="C188" s="3153">
        <v>1</v>
      </c>
      <c r="D188" s="3153">
        <v>102</v>
      </c>
      <c r="E188" s="3153">
        <v>177.61</v>
      </c>
      <c r="F188" s="3153">
        <f t="shared" si="18"/>
        <v>617.29999999999995</v>
      </c>
      <c r="G188" s="3153">
        <f t="shared" si="20"/>
        <v>34756</v>
      </c>
      <c r="AF188" s="3152">
        <v>186</v>
      </c>
      <c r="AG188" s="3156" t="s">
        <v>3491</v>
      </c>
      <c r="AH188" s="3156" t="s">
        <v>3392</v>
      </c>
      <c r="AI188" s="3153">
        <v>1186</v>
      </c>
      <c r="AJ188" s="3153">
        <v>47.92</v>
      </c>
      <c r="AK188" s="3153">
        <f t="shared" si="19"/>
        <v>6.39</v>
      </c>
      <c r="AL188" s="3153">
        <f t="shared" si="21"/>
        <v>1333</v>
      </c>
    </row>
    <row r="189" spans="1:38" ht="14.25" thickBot="1">
      <c r="A189" s="3152">
        <v>187</v>
      </c>
      <c r="B189" s="3153" t="s">
        <v>3432</v>
      </c>
      <c r="C189" s="3153">
        <v>1</v>
      </c>
      <c r="D189" s="3153">
        <v>301</v>
      </c>
      <c r="E189" s="3153">
        <v>193.85</v>
      </c>
      <c r="F189" s="3153">
        <f t="shared" si="18"/>
        <v>673.7</v>
      </c>
      <c r="G189" s="3153">
        <f t="shared" si="20"/>
        <v>34756</v>
      </c>
      <c r="AF189" s="3152">
        <v>187</v>
      </c>
      <c r="AG189" s="3156" t="s">
        <v>3491</v>
      </c>
      <c r="AH189" s="3156" t="s">
        <v>3392</v>
      </c>
      <c r="AI189" s="3153">
        <v>1187</v>
      </c>
      <c r="AJ189" s="3153">
        <v>47.92</v>
      </c>
      <c r="AK189" s="3153">
        <f t="shared" si="19"/>
        <v>6.39</v>
      </c>
      <c r="AL189" s="3153">
        <f t="shared" si="21"/>
        <v>1333</v>
      </c>
    </row>
    <row r="190" spans="1:38" ht="14.25" thickBot="1">
      <c r="A190" s="3152">
        <v>188</v>
      </c>
      <c r="B190" s="3153" t="s">
        <v>3432</v>
      </c>
      <c r="C190" s="3153">
        <v>1</v>
      </c>
      <c r="D190" s="3153">
        <v>302</v>
      </c>
      <c r="E190" s="3153">
        <v>177.61</v>
      </c>
      <c r="F190" s="3153">
        <f t="shared" si="18"/>
        <v>617.29999999999995</v>
      </c>
      <c r="G190" s="3153">
        <f t="shared" si="20"/>
        <v>34756</v>
      </c>
      <c r="AF190" s="3152">
        <v>188</v>
      </c>
      <c r="AG190" s="3156" t="s">
        <v>3491</v>
      </c>
      <c r="AH190" s="3156" t="s">
        <v>3392</v>
      </c>
      <c r="AI190" s="3153">
        <v>1188</v>
      </c>
      <c r="AJ190" s="3153">
        <v>47.92</v>
      </c>
      <c r="AK190" s="3153">
        <f t="shared" si="19"/>
        <v>6.39</v>
      </c>
      <c r="AL190" s="3153">
        <f t="shared" si="21"/>
        <v>1333</v>
      </c>
    </row>
    <row r="191" spans="1:38" ht="14.25" thickBot="1">
      <c r="A191" s="3152">
        <v>189</v>
      </c>
      <c r="B191" s="3153" t="s">
        <v>3432</v>
      </c>
      <c r="C191" s="3153">
        <v>1</v>
      </c>
      <c r="D191" s="3153">
        <v>501</v>
      </c>
      <c r="E191" s="3153">
        <v>178.3</v>
      </c>
      <c r="F191" s="3153">
        <f t="shared" si="18"/>
        <v>619.70000000000005</v>
      </c>
      <c r="G191" s="3153">
        <f t="shared" si="20"/>
        <v>34756</v>
      </c>
      <c r="AF191" s="3152">
        <v>189</v>
      </c>
      <c r="AG191" s="3156" t="s">
        <v>3491</v>
      </c>
      <c r="AH191" s="3156" t="s">
        <v>3392</v>
      </c>
      <c r="AI191" s="3153">
        <v>1189</v>
      </c>
      <c r="AJ191" s="3153">
        <v>47.92</v>
      </c>
      <c r="AK191" s="3153">
        <f t="shared" si="19"/>
        <v>6.39</v>
      </c>
      <c r="AL191" s="3153">
        <f t="shared" si="21"/>
        <v>1333</v>
      </c>
    </row>
    <row r="192" spans="1:38" ht="14.25" thickBot="1">
      <c r="A192" s="3152">
        <v>190</v>
      </c>
      <c r="B192" s="3153" t="s">
        <v>3432</v>
      </c>
      <c r="C192" s="3153">
        <v>2</v>
      </c>
      <c r="D192" s="3153">
        <v>101</v>
      </c>
      <c r="E192" s="3153">
        <v>177.61</v>
      </c>
      <c r="F192" s="3153">
        <f t="shared" si="18"/>
        <v>617.29999999999995</v>
      </c>
      <c r="G192" s="3153">
        <f t="shared" si="20"/>
        <v>34756</v>
      </c>
      <c r="AF192" s="3152">
        <v>190</v>
      </c>
      <c r="AG192" s="3156" t="s">
        <v>3491</v>
      </c>
      <c r="AH192" s="3156" t="s">
        <v>3392</v>
      </c>
      <c r="AI192" s="3153">
        <v>1190</v>
      </c>
      <c r="AJ192" s="3153">
        <v>47.92</v>
      </c>
      <c r="AK192" s="3153">
        <f t="shared" si="19"/>
        <v>6.39</v>
      </c>
      <c r="AL192" s="3153">
        <f t="shared" si="21"/>
        <v>1333</v>
      </c>
    </row>
    <row r="193" spans="1:38" ht="14.25" thickBot="1">
      <c r="A193" s="3152">
        <v>191</v>
      </c>
      <c r="B193" s="3153" t="s">
        <v>3432</v>
      </c>
      <c r="C193" s="3153">
        <v>2</v>
      </c>
      <c r="D193" s="3153">
        <v>102</v>
      </c>
      <c r="E193" s="3153">
        <v>177.61</v>
      </c>
      <c r="F193" s="3153">
        <f t="shared" si="18"/>
        <v>617.29999999999995</v>
      </c>
      <c r="G193" s="3153">
        <f t="shared" si="20"/>
        <v>34756</v>
      </c>
      <c r="AF193" s="3152">
        <v>191</v>
      </c>
      <c r="AG193" s="3156" t="s">
        <v>3491</v>
      </c>
      <c r="AH193" s="3156" t="s">
        <v>3392</v>
      </c>
      <c r="AI193" s="3153">
        <v>1191</v>
      </c>
      <c r="AJ193" s="3153">
        <v>47.92</v>
      </c>
      <c r="AK193" s="3153">
        <f t="shared" si="19"/>
        <v>6.39</v>
      </c>
      <c r="AL193" s="3153">
        <f t="shared" si="21"/>
        <v>1333</v>
      </c>
    </row>
    <row r="194" spans="1:38" ht="14.25" thickBot="1">
      <c r="A194" s="3152">
        <v>192</v>
      </c>
      <c r="B194" s="3153" t="s">
        <v>3432</v>
      </c>
      <c r="C194" s="3153">
        <v>2</v>
      </c>
      <c r="D194" s="3153">
        <v>301</v>
      </c>
      <c r="E194" s="3153">
        <v>177.61</v>
      </c>
      <c r="F194" s="3153">
        <f t="shared" si="18"/>
        <v>617.29999999999995</v>
      </c>
      <c r="G194" s="3153">
        <f t="shared" si="20"/>
        <v>34756</v>
      </c>
      <c r="AF194" s="3152">
        <v>192</v>
      </c>
      <c r="AG194" s="3156" t="s">
        <v>3491</v>
      </c>
      <c r="AH194" s="3156" t="s">
        <v>3392</v>
      </c>
      <c r="AI194" s="3153">
        <v>1192</v>
      </c>
      <c r="AJ194" s="3153">
        <v>44.93</v>
      </c>
      <c r="AK194" s="3153">
        <f t="shared" si="19"/>
        <v>5.99</v>
      </c>
      <c r="AL194" s="3153">
        <f t="shared" si="21"/>
        <v>1333</v>
      </c>
    </row>
    <row r="195" spans="1:38" ht="14.25" thickBot="1">
      <c r="A195" s="3152">
        <v>193</v>
      </c>
      <c r="B195" s="3153" t="s">
        <v>3432</v>
      </c>
      <c r="C195" s="3153">
        <v>2</v>
      </c>
      <c r="D195" s="3153">
        <v>302</v>
      </c>
      <c r="E195" s="3153">
        <v>177.61</v>
      </c>
      <c r="F195" s="3153">
        <f t="shared" si="18"/>
        <v>617.29999999999995</v>
      </c>
      <c r="G195" s="3153">
        <f t="shared" si="20"/>
        <v>34756</v>
      </c>
      <c r="AF195" s="3152">
        <v>193</v>
      </c>
      <c r="AG195" s="3156" t="s">
        <v>3491</v>
      </c>
      <c r="AH195" s="3156" t="s">
        <v>3392</v>
      </c>
      <c r="AI195" s="3153">
        <v>1193</v>
      </c>
      <c r="AJ195" s="3153">
        <v>47.92</v>
      </c>
      <c r="AK195" s="3153">
        <f t="shared" si="19"/>
        <v>6.39</v>
      </c>
      <c r="AL195" s="3153">
        <f t="shared" si="21"/>
        <v>1333</v>
      </c>
    </row>
    <row r="196" spans="1:38" ht="14.25" thickBot="1">
      <c r="A196" s="3152">
        <v>194</v>
      </c>
      <c r="B196" s="3153" t="s">
        <v>3432</v>
      </c>
      <c r="C196" s="3153">
        <v>2</v>
      </c>
      <c r="D196" s="3153">
        <v>501</v>
      </c>
      <c r="E196" s="3153">
        <v>170.37</v>
      </c>
      <c r="F196" s="3153">
        <f t="shared" ref="F196:F259" si="22">ROUND(G196*E196/10000,1)</f>
        <v>592.1</v>
      </c>
      <c r="G196" s="3153">
        <f t="shared" si="20"/>
        <v>34756</v>
      </c>
      <c r="AF196" s="3152">
        <v>194</v>
      </c>
      <c r="AG196" s="3156" t="s">
        <v>3491</v>
      </c>
      <c r="AH196" s="3156" t="s">
        <v>3392</v>
      </c>
      <c r="AI196" s="3153">
        <v>1194</v>
      </c>
      <c r="AJ196" s="3153">
        <v>47.92</v>
      </c>
      <c r="AK196" s="3153">
        <f t="shared" ref="AK196:AK259" si="23">ROUND(AL196*AJ196/10000,2)</f>
        <v>6.39</v>
      </c>
      <c r="AL196" s="3153">
        <f t="shared" si="21"/>
        <v>1333</v>
      </c>
    </row>
    <row r="197" spans="1:38" ht="14.25" thickBot="1">
      <c r="A197" s="3152">
        <v>195</v>
      </c>
      <c r="B197" s="3153" t="s">
        <v>3432</v>
      </c>
      <c r="C197" s="3153">
        <v>3</v>
      </c>
      <c r="D197" s="3153">
        <v>101</v>
      </c>
      <c r="E197" s="3153">
        <v>177.61</v>
      </c>
      <c r="F197" s="3153">
        <f t="shared" si="22"/>
        <v>617.29999999999995</v>
      </c>
      <c r="G197" s="3153">
        <f t="shared" ref="G197:G260" si="24">G196</f>
        <v>34756</v>
      </c>
      <c r="AF197" s="3152">
        <v>195</v>
      </c>
      <c r="AG197" s="3156" t="s">
        <v>3491</v>
      </c>
      <c r="AH197" s="3156" t="s">
        <v>3392</v>
      </c>
      <c r="AI197" s="3153">
        <v>1195</v>
      </c>
      <c r="AJ197" s="3153">
        <v>47.92</v>
      </c>
      <c r="AK197" s="3153">
        <f t="shared" si="23"/>
        <v>6.39</v>
      </c>
      <c r="AL197" s="3153">
        <f t="shared" ref="AL197:AL260" si="25">AL196</f>
        <v>1333</v>
      </c>
    </row>
    <row r="198" spans="1:38" ht="14.25" thickBot="1">
      <c r="A198" s="3152">
        <v>196</v>
      </c>
      <c r="B198" s="3153" t="s">
        <v>3432</v>
      </c>
      <c r="C198" s="3153">
        <v>3</v>
      </c>
      <c r="D198" s="3153">
        <v>102</v>
      </c>
      <c r="E198" s="3153">
        <v>177.61</v>
      </c>
      <c r="F198" s="3153">
        <f t="shared" si="22"/>
        <v>617.29999999999995</v>
      </c>
      <c r="G198" s="3153">
        <f t="shared" si="24"/>
        <v>34756</v>
      </c>
      <c r="AF198" s="3152">
        <v>196</v>
      </c>
      <c r="AG198" s="3156" t="s">
        <v>3491</v>
      </c>
      <c r="AH198" s="3156" t="s">
        <v>3392</v>
      </c>
      <c r="AI198" s="3153">
        <v>1196</v>
      </c>
      <c r="AJ198" s="3153">
        <v>47.92</v>
      </c>
      <c r="AK198" s="3153">
        <f t="shared" si="23"/>
        <v>6.39</v>
      </c>
      <c r="AL198" s="3153">
        <f t="shared" si="25"/>
        <v>1333</v>
      </c>
    </row>
    <row r="199" spans="1:38" ht="14.25" thickBot="1">
      <c r="A199" s="3152">
        <v>197</v>
      </c>
      <c r="B199" s="3153" t="s">
        <v>3432</v>
      </c>
      <c r="C199" s="3153">
        <v>3</v>
      </c>
      <c r="D199" s="3153">
        <v>301</v>
      </c>
      <c r="E199" s="3153">
        <v>177.61</v>
      </c>
      <c r="F199" s="3153">
        <f t="shared" si="22"/>
        <v>617.29999999999995</v>
      </c>
      <c r="G199" s="3153">
        <f t="shared" si="24"/>
        <v>34756</v>
      </c>
      <c r="AF199" s="3152">
        <v>197</v>
      </c>
      <c r="AG199" s="3156" t="s">
        <v>3491</v>
      </c>
      <c r="AH199" s="3156" t="s">
        <v>3392</v>
      </c>
      <c r="AI199" s="3153">
        <v>1197</v>
      </c>
      <c r="AJ199" s="3153">
        <v>47.92</v>
      </c>
      <c r="AK199" s="3153">
        <f t="shared" si="23"/>
        <v>6.39</v>
      </c>
      <c r="AL199" s="3153">
        <f t="shared" si="25"/>
        <v>1333</v>
      </c>
    </row>
    <row r="200" spans="1:38" ht="14.25" thickBot="1">
      <c r="A200" s="3152">
        <v>198</v>
      </c>
      <c r="B200" s="3153" t="s">
        <v>3432</v>
      </c>
      <c r="C200" s="3153">
        <v>3</v>
      </c>
      <c r="D200" s="3153">
        <v>302</v>
      </c>
      <c r="E200" s="3153">
        <v>177.61</v>
      </c>
      <c r="F200" s="3153">
        <f t="shared" si="22"/>
        <v>617.29999999999995</v>
      </c>
      <c r="G200" s="3153">
        <f t="shared" si="24"/>
        <v>34756</v>
      </c>
      <c r="AF200" s="3152">
        <v>198</v>
      </c>
      <c r="AG200" s="3156" t="s">
        <v>3491</v>
      </c>
      <c r="AH200" s="3156" t="s">
        <v>3392</v>
      </c>
      <c r="AI200" s="3153">
        <v>1198</v>
      </c>
      <c r="AJ200" s="3153">
        <v>47.92</v>
      </c>
      <c r="AK200" s="3153">
        <f t="shared" si="23"/>
        <v>6.39</v>
      </c>
      <c r="AL200" s="3153">
        <f t="shared" si="25"/>
        <v>1333</v>
      </c>
    </row>
    <row r="201" spans="1:38" ht="14.25" thickBot="1">
      <c r="A201" s="3152">
        <v>199</v>
      </c>
      <c r="B201" s="3153" t="s">
        <v>3432</v>
      </c>
      <c r="C201" s="3153">
        <v>3</v>
      </c>
      <c r="D201" s="3153">
        <v>501</v>
      </c>
      <c r="E201" s="3153">
        <v>170.37</v>
      </c>
      <c r="F201" s="3153">
        <f t="shared" si="22"/>
        <v>592.1</v>
      </c>
      <c r="G201" s="3153">
        <f t="shared" si="24"/>
        <v>34756</v>
      </c>
      <c r="AF201" s="3152">
        <v>199</v>
      </c>
      <c r="AG201" s="3156" t="s">
        <v>3491</v>
      </c>
      <c r="AH201" s="3156" t="s">
        <v>3392</v>
      </c>
      <c r="AI201" s="3153">
        <v>1199</v>
      </c>
      <c r="AJ201" s="3153">
        <v>47.92</v>
      </c>
      <c r="AK201" s="3153">
        <f t="shared" si="23"/>
        <v>6.39</v>
      </c>
      <c r="AL201" s="3153">
        <f t="shared" si="25"/>
        <v>1333</v>
      </c>
    </row>
    <row r="202" spans="1:38" ht="14.25" thickBot="1">
      <c r="A202" s="3152">
        <v>200</v>
      </c>
      <c r="B202" s="3153" t="s">
        <v>3432</v>
      </c>
      <c r="C202" s="3153">
        <v>4</v>
      </c>
      <c r="D202" s="3153">
        <v>101</v>
      </c>
      <c r="E202" s="3153">
        <v>177.61</v>
      </c>
      <c r="F202" s="3153">
        <f t="shared" si="22"/>
        <v>617.29999999999995</v>
      </c>
      <c r="G202" s="3153">
        <f t="shared" si="24"/>
        <v>34756</v>
      </c>
      <c r="AF202" s="3152">
        <v>200</v>
      </c>
      <c r="AG202" s="3156" t="s">
        <v>3491</v>
      </c>
      <c r="AH202" s="3156" t="s">
        <v>3392</v>
      </c>
      <c r="AI202" s="3153">
        <v>1200</v>
      </c>
      <c r="AJ202" s="3153">
        <v>47.92</v>
      </c>
      <c r="AK202" s="3153">
        <f t="shared" si="23"/>
        <v>6.39</v>
      </c>
      <c r="AL202" s="3153">
        <f t="shared" si="25"/>
        <v>1333</v>
      </c>
    </row>
    <row r="203" spans="1:38" ht="14.25" thickBot="1">
      <c r="A203" s="3152">
        <v>201</v>
      </c>
      <c r="B203" s="3153" t="s">
        <v>3432</v>
      </c>
      <c r="C203" s="3153">
        <v>4</v>
      </c>
      <c r="D203" s="3153">
        <v>102</v>
      </c>
      <c r="E203" s="3153">
        <v>193.85</v>
      </c>
      <c r="F203" s="3153">
        <f t="shared" si="22"/>
        <v>673.7</v>
      </c>
      <c r="G203" s="3153">
        <f t="shared" si="24"/>
        <v>34756</v>
      </c>
      <c r="AF203" s="3152">
        <v>201</v>
      </c>
      <c r="AG203" s="3156" t="s">
        <v>3491</v>
      </c>
      <c r="AH203" s="3156" t="s">
        <v>3392</v>
      </c>
      <c r="AI203" s="3153">
        <v>1201</v>
      </c>
      <c r="AJ203" s="3153">
        <v>47.92</v>
      </c>
      <c r="AK203" s="3153">
        <f t="shared" si="23"/>
        <v>6.39</v>
      </c>
      <c r="AL203" s="3153">
        <f t="shared" si="25"/>
        <v>1333</v>
      </c>
    </row>
    <row r="204" spans="1:38" ht="14.25" thickBot="1">
      <c r="A204" s="3152">
        <v>202</v>
      </c>
      <c r="B204" s="3153" t="s">
        <v>3432</v>
      </c>
      <c r="C204" s="3153">
        <v>4</v>
      </c>
      <c r="D204" s="3153">
        <v>301</v>
      </c>
      <c r="E204" s="3153">
        <v>177.61</v>
      </c>
      <c r="F204" s="3153">
        <f t="shared" si="22"/>
        <v>617.29999999999995</v>
      </c>
      <c r="G204" s="3153">
        <f t="shared" si="24"/>
        <v>34756</v>
      </c>
      <c r="AF204" s="3152">
        <v>202</v>
      </c>
      <c r="AG204" s="3156" t="s">
        <v>3491</v>
      </c>
      <c r="AH204" s="3156" t="s">
        <v>3392</v>
      </c>
      <c r="AI204" s="3153">
        <v>1202</v>
      </c>
      <c r="AJ204" s="3153">
        <v>47.92</v>
      </c>
      <c r="AK204" s="3153">
        <f t="shared" si="23"/>
        <v>6.39</v>
      </c>
      <c r="AL204" s="3153">
        <f t="shared" si="25"/>
        <v>1333</v>
      </c>
    </row>
    <row r="205" spans="1:38" ht="14.25" thickBot="1">
      <c r="A205" s="3152">
        <v>203</v>
      </c>
      <c r="B205" s="3153" t="s">
        <v>3432</v>
      </c>
      <c r="C205" s="3153">
        <v>4</v>
      </c>
      <c r="D205" s="3153">
        <v>302</v>
      </c>
      <c r="E205" s="3153">
        <v>193.85</v>
      </c>
      <c r="F205" s="3153">
        <f t="shared" si="22"/>
        <v>673.7</v>
      </c>
      <c r="G205" s="3153">
        <f t="shared" si="24"/>
        <v>34756</v>
      </c>
      <c r="AF205" s="3152">
        <v>203</v>
      </c>
      <c r="AG205" s="3156" t="s">
        <v>3491</v>
      </c>
      <c r="AH205" s="3156" t="s">
        <v>3392</v>
      </c>
      <c r="AI205" s="3153">
        <v>1203</v>
      </c>
      <c r="AJ205" s="3153">
        <v>47.92</v>
      </c>
      <c r="AK205" s="3153">
        <f t="shared" si="23"/>
        <v>6.39</v>
      </c>
      <c r="AL205" s="3153">
        <f t="shared" si="25"/>
        <v>1333</v>
      </c>
    </row>
    <row r="206" spans="1:38" ht="14.25" thickBot="1">
      <c r="A206" s="3152">
        <v>204</v>
      </c>
      <c r="B206" s="3153" t="s">
        <v>3432</v>
      </c>
      <c r="C206" s="3153">
        <v>4</v>
      </c>
      <c r="D206" s="3153">
        <v>501</v>
      </c>
      <c r="E206" s="3153">
        <v>178.3</v>
      </c>
      <c r="F206" s="3153">
        <f t="shared" si="22"/>
        <v>619.70000000000005</v>
      </c>
      <c r="G206" s="3153">
        <f t="shared" si="24"/>
        <v>34756</v>
      </c>
      <c r="AF206" s="3152">
        <v>204</v>
      </c>
      <c r="AG206" s="3156" t="s">
        <v>3491</v>
      </c>
      <c r="AH206" s="3156" t="s">
        <v>3392</v>
      </c>
      <c r="AI206" s="3153">
        <v>1204</v>
      </c>
      <c r="AJ206" s="3153">
        <v>47.92</v>
      </c>
      <c r="AK206" s="3153">
        <f t="shared" si="23"/>
        <v>6.39</v>
      </c>
      <c r="AL206" s="3153">
        <f t="shared" si="25"/>
        <v>1333</v>
      </c>
    </row>
    <row r="207" spans="1:38" ht="14.25" thickBot="1">
      <c r="A207" s="3152">
        <v>205</v>
      </c>
      <c r="B207" s="3153" t="s">
        <v>3433</v>
      </c>
      <c r="C207" s="3153">
        <v>1</v>
      </c>
      <c r="D207" s="3153">
        <v>101</v>
      </c>
      <c r="E207" s="3153">
        <v>193.9</v>
      </c>
      <c r="F207" s="3153">
        <f t="shared" si="22"/>
        <v>673.9</v>
      </c>
      <c r="G207" s="3153">
        <f t="shared" si="24"/>
        <v>34756</v>
      </c>
      <c r="AF207" s="3152">
        <v>205</v>
      </c>
      <c r="AG207" s="3156" t="s">
        <v>3491</v>
      </c>
      <c r="AH207" s="3156" t="s">
        <v>3392</v>
      </c>
      <c r="AI207" s="3153">
        <v>1205</v>
      </c>
      <c r="AJ207" s="3153">
        <v>47.92</v>
      </c>
      <c r="AK207" s="3153">
        <f t="shared" si="23"/>
        <v>6.39</v>
      </c>
      <c r="AL207" s="3153">
        <f t="shared" si="25"/>
        <v>1333</v>
      </c>
    </row>
    <row r="208" spans="1:38" ht="14.25" thickBot="1">
      <c r="A208" s="3152">
        <v>206</v>
      </c>
      <c r="B208" s="3153" t="s">
        <v>3433</v>
      </c>
      <c r="C208" s="3153">
        <v>1</v>
      </c>
      <c r="D208" s="3153">
        <v>102</v>
      </c>
      <c r="E208" s="3153">
        <v>177.66</v>
      </c>
      <c r="F208" s="3153">
        <f t="shared" si="22"/>
        <v>617.5</v>
      </c>
      <c r="G208" s="3153">
        <f t="shared" si="24"/>
        <v>34756</v>
      </c>
      <c r="AF208" s="3152">
        <v>206</v>
      </c>
      <c r="AG208" s="3156" t="s">
        <v>3491</v>
      </c>
      <c r="AH208" s="3156" t="s">
        <v>3392</v>
      </c>
      <c r="AI208" s="3153">
        <v>1206</v>
      </c>
      <c r="AJ208" s="3153">
        <v>47.92</v>
      </c>
      <c r="AK208" s="3153">
        <f t="shared" si="23"/>
        <v>6.39</v>
      </c>
      <c r="AL208" s="3153">
        <f t="shared" si="25"/>
        <v>1333</v>
      </c>
    </row>
    <row r="209" spans="1:38" ht="14.25" thickBot="1">
      <c r="A209" s="3152">
        <v>207</v>
      </c>
      <c r="B209" s="3153" t="s">
        <v>3433</v>
      </c>
      <c r="C209" s="3153">
        <v>1</v>
      </c>
      <c r="D209" s="3153">
        <v>301</v>
      </c>
      <c r="E209" s="3153">
        <v>193.9</v>
      </c>
      <c r="F209" s="3153">
        <f t="shared" si="22"/>
        <v>673.9</v>
      </c>
      <c r="G209" s="3153">
        <f t="shared" si="24"/>
        <v>34756</v>
      </c>
      <c r="AF209" s="3152">
        <v>207</v>
      </c>
      <c r="AG209" s="3156" t="s">
        <v>3491</v>
      </c>
      <c r="AH209" s="3156" t="s">
        <v>3392</v>
      </c>
      <c r="AI209" s="3153">
        <v>1207</v>
      </c>
      <c r="AJ209" s="3153">
        <v>47.92</v>
      </c>
      <c r="AK209" s="3153">
        <f t="shared" si="23"/>
        <v>6.39</v>
      </c>
      <c r="AL209" s="3153">
        <f t="shared" si="25"/>
        <v>1333</v>
      </c>
    </row>
    <row r="210" spans="1:38" ht="14.25" thickBot="1">
      <c r="A210" s="3152">
        <v>208</v>
      </c>
      <c r="B210" s="3153" t="s">
        <v>3433</v>
      </c>
      <c r="C210" s="3153">
        <v>1</v>
      </c>
      <c r="D210" s="3153">
        <v>302</v>
      </c>
      <c r="E210" s="3153">
        <v>177.66</v>
      </c>
      <c r="F210" s="3153">
        <f t="shared" si="22"/>
        <v>617.5</v>
      </c>
      <c r="G210" s="3153">
        <f t="shared" si="24"/>
        <v>34756</v>
      </c>
      <c r="AF210" s="3152">
        <v>208</v>
      </c>
      <c r="AG210" s="3156" t="s">
        <v>3491</v>
      </c>
      <c r="AH210" s="3156" t="s">
        <v>3392</v>
      </c>
      <c r="AI210" s="3153">
        <v>1208</v>
      </c>
      <c r="AJ210" s="3153">
        <v>47.92</v>
      </c>
      <c r="AK210" s="3153">
        <f t="shared" si="23"/>
        <v>6.39</v>
      </c>
      <c r="AL210" s="3153">
        <f t="shared" si="25"/>
        <v>1333</v>
      </c>
    </row>
    <row r="211" spans="1:38" ht="14.25" thickBot="1">
      <c r="A211" s="3152">
        <v>209</v>
      </c>
      <c r="B211" s="3153" t="s">
        <v>3433</v>
      </c>
      <c r="C211" s="3153">
        <v>1</v>
      </c>
      <c r="D211" s="3153">
        <v>501</v>
      </c>
      <c r="E211" s="3153">
        <v>178.35</v>
      </c>
      <c r="F211" s="3153">
        <f t="shared" si="22"/>
        <v>619.9</v>
      </c>
      <c r="G211" s="3153">
        <f t="shared" si="24"/>
        <v>34756</v>
      </c>
      <c r="AF211" s="3152">
        <v>209</v>
      </c>
      <c r="AG211" s="3156" t="s">
        <v>3491</v>
      </c>
      <c r="AH211" s="3156" t="s">
        <v>3392</v>
      </c>
      <c r="AI211" s="3153">
        <v>1209</v>
      </c>
      <c r="AJ211" s="3153">
        <v>47.92</v>
      </c>
      <c r="AK211" s="3153">
        <f t="shared" si="23"/>
        <v>6.39</v>
      </c>
      <c r="AL211" s="3153">
        <f t="shared" si="25"/>
        <v>1333</v>
      </c>
    </row>
    <row r="212" spans="1:38" ht="14.25" thickBot="1">
      <c r="A212" s="3152">
        <v>210</v>
      </c>
      <c r="B212" s="3153" t="s">
        <v>3433</v>
      </c>
      <c r="C212" s="3153">
        <v>2</v>
      </c>
      <c r="D212" s="3153">
        <v>101</v>
      </c>
      <c r="E212" s="3153">
        <v>177.66</v>
      </c>
      <c r="F212" s="3153">
        <f t="shared" si="22"/>
        <v>617.5</v>
      </c>
      <c r="G212" s="3153">
        <f t="shared" si="24"/>
        <v>34756</v>
      </c>
      <c r="AF212" s="3152">
        <v>210</v>
      </c>
      <c r="AG212" s="3156" t="s">
        <v>3491</v>
      </c>
      <c r="AH212" s="3156" t="s">
        <v>3392</v>
      </c>
      <c r="AI212" s="3153">
        <v>1210</v>
      </c>
      <c r="AJ212" s="3153">
        <v>47.92</v>
      </c>
      <c r="AK212" s="3153">
        <f t="shared" si="23"/>
        <v>6.39</v>
      </c>
      <c r="AL212" s="3153">
        <f t="shared" si="25"/>
        <v>1333</v>
      </c>
    </row>
    <row r="213" spans="1:38" ht="14.25" thickBot="1">
      <c r="A213" s="3152">
        <v>211</v>
      </c>
      <c r="B213" s="3153" t="s">
        <v>3433</v>
      </c>
      <c r="C213" s="3153">
        <v>2</v>
      </c>
      <c r="D213" s="3153">
        <v>102</v>
      </c>
      <c r="E213" s="3153">
        <v>177.66</v>
      </c>
      <c r="F213" s="3153">
        <f t="shared" si="22"/>
        <v>617.5</v>
      </c>
      <c r="G213" s="3153">
        <f t="shared" si="24"/>
        <v>34756</v>
      </c>
      <c r="AF213" s="3152">
        <v>211</v>
      </c>
      <c r="AG213" s="3156" t="s">
        <v>3491</v>
      </c>
      <c r="AH213" s="3156" t="s">
        <v>3392</v>
      </c>
      <c r="AI213" s="3153">
        <v>1211</v>
      </c>
      <c r="AJ213" s="3153">
        <v>47.92</v>
      </c>
      <c r="AK213" s="3153">
        <f t="shared" si="23"/>
        <v>6.39</v>
      </c>
      <c r="AL213" s="3153">
        <f t="shared" si="25"/>
        <v>1333</v>
      </c>
    </row>
    <row r="214" spans="1:38" ht="14.25" thickBot="1">
      <c r="A214" s="3152">
        <v>212</v>
      </c>
      <c r="B214" s="3153" t="s">
        <v>3433</v>
      </c>
      <c r="C214" s="3153">
        <v>2</v>
      </c>
      <c r="D214" s="3153">
        <v>301</v>
      </c>
      <c r="E214" s="3153">
        <v>177.66</v>
      </c>
      <c r="F214" s="3153">
        <f t="shared" si="22"/>
        <v>617.5</v>
      </c>
      <c r="G214" s="3153">
        <f t="shared" si="24"/>
        <v>34756</v>
      </c>
      <c r="AF214" s="3152">
        <v>212</v>
      </c>
      <c r="AG214" s="3156" t="s">
        <v>3491</v>
      </c>
      <c r="AH214" s="3156" t="s">
        <v>3392</v>
      </c>
      <c r="AI214" s="3153">
        <v>1212</v>
      </c>
      <c r="AJ214" s="3153">
        <v>47.92</v>
      </c>
      <c r="AK214" s="3153">
        <f t="shared" si="23"/>
        <v>6.39</v>
      </c>
      <c r="AL214" s="3153">
        <f t="shared" si="25"/>
        <v>1333</v>
      </c>
    </row>
    <row r="215" spans="1:38" ht="14.25" thickBot="1">
      <c r="A215" s="3152">
        <v>213</v>
      </c>
      <c r="B215" s="3153" t="s">
        <v>3433</v>
      </c>
      <c r="C215" s="3153">
        <v>2</v>
      </c>
      <c r="D215" s="3153">
        <v>302</v>
      </c>
      <c r="E215" s="3153">
        <v>177.66</v>
      </c>
      <c r="F215" s="3153">
        <f t="shared" si="22"/>
        <v>617.5</v>
      </c>
      <c r="G215" s="3153">
        <f t="shared" si="24"/>
        <v>34756</v>
      </c>
      <c r="AF215" s="3152">
        <v>213</v>
      </c>
      <c r="AG215" s="3156" t="s">
        <v>3491</v>
      </c>
      <c r="AH215" s="3156" t="s">
        <v>3392</v>
      </c>
      <c r="AI215" s="3153">
        <v>1213</v>
      </c>
      <c r="AJ215" s="3153">
        <v>47.92</v>
      </c>
      <c r="AK215" s="3153">
        <f t="shared" si="23"/>
        <v>6.39</v>
      </c>
      <c r="AL215" s="3153">
        <f t="shared" si="25"/>
        <v>1333</v>
      </c>
    </row>
    <row r="216" spans="1:38" ht="14.25" thickBot="1">
      <c r="A216" s="3152">
        <v>214</v>
      </c>
      <c r="B216" s="3153" t="s">
        <v>3433</v>
      </c>
      <c r="C216" s="3153">
        <v>2</v>
      </c>
      <c r="D216" s="3153">
        <v>501</v>
      </c>
      <c r="E216" s="3153">
        <v>170.42</v>
      </c>
      <c r="F216" s="3153">
        <f t="shared" si="22"/>
        <v>592.29999999999995</v>
      </c>
      <c r="G216" s="3153">
        <f t="shared" si="24"/>
        <v>34756</v>
      </c>
      <c r="AF216" s="3152">
        <v>214</v>
      </c>
      <c r="AG216" s="3156" t="s">
        <v>3491</v>
      </c>
      <c r="AH216" s="3156" t="s">
        <v>3392</v>
      </c>
      <c r="AI216" s="3153">
        <v>1214</v>
      </c>
      <c r="AJ216" s="3153">
        <v>47.92</v>
      </c>
      <c r="AK216" s="3153">
        <f t="shared" si="23"/>
        <v>6.39</v>
      </c>
      <c r="AL216" s="3153">
        <f t="shared" si="25"/>
        <v>1333</v>
      </c>
    </row>
    <row r="217" spans="1:38" ht="14.25" thickBot="1">
      <c r="A217" s="3152">
        <v>215</v>
      </c>
      <c r="B217" s="3153" t="s">
        <v>3433</v>
      </c>
      <c r="C217" s="3153">
        <v>3</v>
      </c>
      <c r="D217" s="3153">
        <v>101</v>
      </c>
      <c r="E217" s="3153">
        <v>177.66</v>
      </c>
      <c r="F217" s="3153">
        <f t="shared" si="22"/>
        <v>617.5</v>
      </c>
      <c r="G217" s="3153">
        <f t="shared" si="24"/>
        <v>34756</v>
      </c>
      <c r="AF217" s="3152">
        <v>215</v>
      </c>
      <c r="AG217" s="3156" t="s">
        <v>3491</v>
      </c>
      <c r="AH217" s="3156" t="s">
        <v>3392</v>
      </c>
      <c r="AI217" s="3153">
        <v>1215</v>
      </c>
      <c r="AJ217" s="3153">
        <v>47.92</v>
      </c>
      <c r="AK217" s="3153">
        <f t="shared" si="23"/>
        <v>6.39</v>
      </c>
      <c r="AL217" s="3153">
        <f t="shared" si="25"/>
        <v>1333</v>
      </c>
    </row>
    <row r="218" spans="1:38" ht="14.25" thickBot="1">
      <c r="A218" s="3152">
        <v>216</v>
      </c>
      <c r="B218" s="3153" t="s">
        <v>3433</v>
      </c>
      <c r="C218" s="3153">
        <v>3</v>
      </c>
      <c r="D218" s="3153">
        <v>102</v>
      </c>
      <c r="E218" s="3153">
        <v>193.9</v>
      </c>
      <c r="F218" s="3153">
        <f t="shared" si="22"/>
        <v>673.9</v>
      </c>
      <c r="G218" s="3153">
        <f t="shared" si="24"/>
        <v>34756</v>
      </c>
      <c r="AF218" s="3152">
        <v>216</v>
      </c>
      <c r="AG218" s="3156" t="s">
        <v>3491</v>
      </c>
      <c r="AH218" s="3156" t="s">
        <v>3392</v>
      </c>
      <c r="AI218" s="3153">
        <v>1216</v>
      </c>
      <c r="AJ218" s="3153">
        <v>47.92</v>
      </c>
      <c r="AK218" s="3153">
        <f t="shared" si="23"/>
        <v>6.39</v>
      </c>
      <c r="AL218" s="3153">
        <f t="shared" si="25"/>
        <v>1333</v>
      </c>
    </row>
    <row r="219" spans="1:38" ht="14.25" thickBot="1">
      <c r="A219" s="3152">
        <v>217</v>
      </c>
      <c r="B219" s="3153" t="s">
        <v>3433</v>
      </c>
      <c r="C219" s="3153">
        <v>3</v>
      </c>
      <c r="D219" s="3153">
        <v>301</v>
      </c>
      <c r="E219" s="3153">
        <v>177.66</v>
      </c>
      <c r="F219" s="3153">
        <f t="shared" si="22"/>
        <v>617.5</v>
      </c>
      <c r="G219" s="3153">
        <f t="shared" si="24"/>
        <v>34756</v>
      </c>
      <c r="AF219" s="3152">
        <v>217</v>
      </c>
      <c r="AG219" s="3156" t="s">
        <v>3491</v>
      </c>
      <c r="AH219" s="3156" t="s">
        <v>3392</v>
      </c>
      <c r="AI219" s="3153">
        <v>1217</v>
      </c>
      <c r="AJ219" s="3153">
        <v>47.92</v>
      </c>
      <c r="AK219" s="3153">
        <f t="shared" si="23"/>
        <v>6.39</v>
      </c>
      <c r="AL219" s="3153">
        <f t="shared" si="25"/>
        <v>1333</v>
      </c>
    </row>
    <row r="220" spans="1:38" ht="14.25" thickBot="1">
      <c r="A220" s="3152">
        <v>218</v>
      </c>
      <c r="B220" s="3153" t="s">
        <v>3433</v>
      </c>
      <c r="C220" s="3153">
        <v>3</v>
      </c>
      <c r="D220" s="3153">
        <v>302</v>
      </c>
      <c r="E220" s="3153">
        <v>193.9</v>
      </c>
      <c r="F220" s="3153">
        <f t="shared" si="22"/>
        <v>673.9</v>
      </c>
      <c r="G220" s="3153">
        <f t="shared" si="24"/>
        <v>34756</v>
      </c>
      <c r="AF220" s="3152">
        <v>218</v>
      </c>
      <c r="AG220" s="3156" t="s">
        <v>3491</v>
      </c>
      <c r="AH220" s="3156" t="s">
        <v>3392</v>
      </c>
      <c r="AI220" s="3153">
        <v>1218</v>
      </c>
      <c r="AJ220" s="3153">
        <v>47.92</v>
      </c>
      <c r="AK220" s="3153">
        <f t="shared" si="23"/>
        <v>6.39</v>
      </c>
      <c r="AL220" s="3153">
        <f t="shared" si="25"/>
        <v>1333</v>
      </c>
    </row>
    <row r="221" spans="1:38" ht="14.25" thickBot="1">
      <c r="A221" s="3152">
        <v>219</v>
      </c>
      <c r="B221" s="3153" t="s">
        <v>3433</v>
      </c>
      <c r="C221" s="3153">
        <v>3</v>
      </c>
      <c r="D221" s="3153">
        <v>501</v>
      </c>
      <c r="E221" s="3153">
        <v>178.35</v>
      </c>
      <c r="F221" s="3153">
        <f t="shared" si="22"/>
        <v>619.9</v>
      </c>
      <c r="G221" s="3153">
        <f t="shared" si="24"/>
        <v>34756</v>
      </c>
      <c r="AF221" s="3152">
        <v>219</v>
      </c>
      <c r="AG221" s="3156" t="s">
        <v>3491</v>
      </c>
      <c r="AH221" s="3156" t="s">
        <v>3392</v>
      </c>
      <c r="AI221" s="3153">
        <v>1219</v>
      </c>
      <c r="AJ221" s="3153">
        <v>47.92</v>
      </c>
      <c r="AK221" s="3153">
        <f t="shared" si="23"/>
        <v>6.39</v>
      </c>
      <c r="AL221" s="3153">
        <f t="shared" si="25"/>
        <v>1333</v>
      </c>
    </row>
    <row r="222" spans="1:38" ht="14.25" thickBot="1">
      <c r="A222" s="3152">
        <v>220</v>
      </c>
      <c r="B222" s="3153" t="s">
        <v>3434</v>
      </c>
      <c r="C222" s="3153">
        <v>1</v>
      </c>
      <c r="D222" s="3153">
        <v>101</v>
      </c>
      <c r="E222" s="3153">
        <v>193.85</v>
      </c>
      <c r="F222" s="3153">
        <f t="shared" si="22"/>
        <v>673.7</v>
      </c>
      <c r="G222" s="3153">
        <f t="shared" si="24"/>
        <v>34756</v>
      </c>
      <c r="AF222" s="3152">
        <v>220</v>
      </c>
      <c r="AG222" s="3156" t="s">
        <v>3491</v>
      </c>
      <c r="AH222" s="3156" t="s">
        <v>3392</v>
      </c>
      <c r="AI222" s="3153">
        <v>1220</v>
      </c>
      <c r="AJ222" s="3153">
        <v>47.92</v>
      </c>
      <c r="AK222" s="3153">
        <f t="shared" si="23"/>
        <v>6.39</v>
      </c>
      <c r="AL222" s="3153">
        <f t="shared" si="25"/>
        <v>1333</v>
      </c>
    </row>
    <row r="223" spans="1:38" ht="14.25" thickBot="1">
      <c r="A223" s="3152">
        <v>221</v>
      </c>
      <c r="B223" s="3153" t="s">
        <v>3434</v>
      </c>
      <c r="C223" s="3153">
        <v>1</v>
      </c>
      <c r="D223" s="3153">
        <v>102</v>
      </c>
      <c r="E223" s="3153">
        <v>177.61</v>
      </c>
      <c r="F223" s="3153">
        <f t="shared" si="22"/>
        <v>617.29999999999995</v>
      </c>
      <c r="G223" s="3153">
        <f t="shared" si="24"/>
        <v>34756</v>
      </c>
      <c r="AF223" s="3152">
        <v>221</v>
      </c>
      <c r="AG223" s="3156" t="s">
        <v>3491</v>
      </c>
      <c r="AH223" s="3156" t="s">
        <v>3392</v>
      </c>
      <c r="AI223" s="3153">
        <v>1221</v>
      </c>
      <c r="AJ223" s="3153">
        <v>47.92</v>
      </c>
      <c r="AK223" s="3153">
        <f t="shared" si="23"/>
        <v>6.39</v>
      </c>
      <c r="AL223" s="3153">
        <f t="shared" si="25"/>
        <v>1333</v>
      </c>
    </row>
    <row r="224" spans="1:38" ht="14.25" thickBot="1">
      <c r="A224" s="3152">
        <v>222</v>
      </c>
      <c r="B224" s="3153" t="s">
        <v>3434</v>
      </c>
      <c r="C224" s="3153">
        <v>1</v>
      </c>
      <c r="D224" s="3153">
        <v>301</v>
      </c>
      <c r="E224" s="3153">
        <v>193.85</v>
      </c>
      <c r="F224" s="3153">
        <f t="shared" si="22"/>
        <v>673.7</v>
      </c>
      <c r="G224" s="3153">
        <f t="shared" si="24"/>
        <v>34756</v>
      </c>
      <c r="AF224" s="3152">
        <v>222</v>
      </c>
      <c r="AG224" s="3156" t="s">
        <v>3491</v>
      </c>
      <c r="AH224" s="3156" t="s">
        <v>3392</v>
      </c>
      <c r="AI224" s="3153">
        <v>1222</v>
      </c>
      <c r="AJ224" s="3153">
        <v>47.92</v>
      </c>
      <c r="AK224" s="3153">
        <f t="shared" si="23"/>
        <v>6.39</v>
      </c>
      <c r="AL224" s="3153">
        <f t="shared" si="25"/>
        <v>1333</v>
      </c>
    </row>
    <row r="225" spans="1:38" ht="14.25" thickBot="1">
      <c r="A225" s="3152">
        <v>223</v>
      </c>
      <c r="B225" s="3153" t="s">
        <v>3434</v>
      </c>
      <c r="C225" s="3153">
        <v>1</v>
      </c>
      <c r="D225" s="3153">
        <v>302</v>
      </c>
      <c r="E225" s="3153">
        <v>177.61</v>
      </c>
      <c r="F225" s="3153">
        <f t="shared" si="22"/>
        <v>617.29999999999995</v>
      </c>
      <c r="G225" s="3153">
        <f t="shared" si="24"/>
        <v>34756</v>
      </c>
      <c r="AF225" s="3152">
        <v>223</v>
      </c>
      <c r="AG225" s="3156" t="s">
        <v>3491</v>
      </c>
      <c r="AH225" s="3156" t="s">
        <v>3392</v>
      </c>
      <c r="AI225" s="3153">
        <v>1223</v>
      </c>
      <c r="AJ225" s="3153">
        <v>47.92</v>
      </c>
      <c r="AK225" s="3153">
        <f t="shared" si="23"/>
        <v>6.39</v>
      </c>
      <c r="AL225" s="3153">
        <f t="shared" si="25"/>
        <v>1333</v>
      </c>
    </row>
    <row r="226" spans="1:38" ht="14.25" thickBot="1">
      <c r="A226" s="3152">
        <v>224</v>
      </c>
      <c r="B226" s="3153" t="s">
        <v>3434</v>
      </c>
      <c r="C226" s="3153">
        <v>1</v>
      </c>
      <c r="D226" s="3153">
        <v>501</v>
      </c>
      <c r="E226" s="3153">
        <v>178.3</v>
      </c>
      <c r="F226" s="3153">
        <f t="shared" si="22"/>
        <v>619.70000000000005</v>
      </c>
      <c r="G226" s="3153">
        <f t="shared" si="24"/>
        <v>34756</v>
      </c>
      <c r="AF226" s="3152">
        <v>224</v>
      </c>
      <c r="AG226" s="3156" t="s">
        <v>3491</v>
      </c>
      <c r="AH226" s="3156" t="s">
        <v>3392</v>
      </c>
      <c r="AI226" s="3153">
        <v>1224</v>
      </c>
      <c r="AJ226" s="3153">
        <v>47.92</v>
      </c>
      <c r="AK226" s="3153">
        <f t="shared" si="23"/>
        <v>6.39</v>
      </c>
      <c r="AL226" s="3153">
        <f t="shared" si="25"/>
        <v>1333</v>
      </c>
    </row>
    <row r="227" spans="1:38" ht="14.25" thickBot="1">
      <c r="A227" s="3152">
        <v>225</v>
      </c>
      <c r="B227" s="3153" t="s">
        <v>3434</v>
      </c>
      <c r="C227" s="3153">
        <v>2</v>
      </c>
      <c r="D227" s="3153">
        <v>101</v>
      </c>
      <c r="E227" s="3153">
        <v>177.61</v>
      </c>
      <c r="F227" s="3153">
        <f t="shared" si="22"/>
        <v>617.29999999999995</v>
      </c>
      <c r="G227" s="3153">
        <f t="shared" si="24"/>
        <v>34756</v>
      </c>
      <c r="AF227" s="3152">
        <v>225</v>
      </c>
      <c r="AG227" s="3156" t="s">
        <v>3491</v>
      </c>
      <c r="AH227" s="3156" t="s">
        <v>3392</v>
      </c>
      <c r="AI227" s="3153">
        <v>1225</v>
      </c>
      <c r="AJ227" s="3153">
        <v>47.92</v>
      </c>
      <c r="AK227" s="3153">
        <f t="shared" si="23"/>
        <v>6.39</v>
      </c>
      <c r="AL227" s="3153">
        <f t="shared" si="25"/>
        <v>1333</v>
      </c>
    </row>
    <row r="228" spans="1:38" ht="14.25" thickBot="1">
      <c r="A228" s="3152">
        <v>226</v>
      </c>
      <c r="B228" s="3153" t="s">
        <v>3434</v>
      </c>
      <c r="C228" s="3153">
        <v>2</v>
      </c>
      <c r="D228" s="3153">
        <v>102</v>
      </c>
      <c r="E228" s="3153">
        <v>177.61</v>
      </c>
      <c r="F228" s="3153">
        <f t="shared" si="22"/>
        <v>617.29999999999995</v>
      </c>
      <c r="G228" s="3153">
        <f t="shared" si="24"/>
        <v>34756</v>
      </c>
      <c r="AF228" s="3152">
        <v>226</v>
      </c>
      <c r="AG228" s="3156" t="s">
        <v>3491</v>
      </c>
      <c r="AH228" s="3156" t="s">
        <v>3392</v>
      </c>
      <c r="AI228" s="3153">
        <v>1226</v>
      </c>
      <c r="AJ228" s="3153">
        <v>47.92</v>
      </c>
      <c r="AK228" s="3153">
        <f t="shared" si="23"/>
        <v>6.39</v>
      </c>
      <c r="AL228" s="3153">
        <f t="shared" si="25"/>
        <v>1333</v>
      </c>
    </row>
    <row r="229" spans="1:38" ht="14.25" thickBot="1">
      <c r="A229" s="3152">
        <v>227</v>
      </c>
      <c r="B229" s="3153" t="s">
        <v>3434</v>
      </c>
      <c r="C229" s="3153">
        <v>2</v>
      </c>
      <c r="D229" s="3153">
        <v>301</v>
      </c>
      <c r="E229" s="3153">
        <v>177.61</v>
      </c>
      <c r="F229" s="3153">
        <f t="shared" si="22"/>
        <v>617.29999999999995</v>
      </c>
      <c r="G229" s="3153">
        <f t="shared" si="24"/>
        <v>34756</v>
      </c>
      <c r="AF229" s="3152">
        <v>227</v>
      </c>
      <c r="AG229" s="3156" t="s">
        <v>3491</v>
      </c>
      <c r="AH229" s="3156" t="s">
        <v>3392</v>
      </c>
      <c r="AI229" s="3153">
        <v>1227</v>
      </c>
      <c r="AJ229" s="3153">
        <v>47.92</v>
      </c>
      <c r="AK229" s="3153">
        <f t="shared" si="23"/>
        <v>6.39</v>
      </c>
      <c r="AL229" s="3153">
        <f t="shared" si="25"/>
        <v>1333</v>
      </c>
    </row>
    <row r="230" spans="1:38" ht="14.25" thickBot="1">
      <c r="A230" s="3152">
        <v>228</v>
      </c>
      <c r="B230" s="3153" t="s">
        <v>3434</v>
      </c>
      <c r="C230" s="3153">
        <v>2</v>
      </c>
      <c r="D230" s="3153">
        <v>302</v>
      </c>
      <c r="E230" s="3153">
        <v>177.61</v>
      </c>
      <c r="F230" s="3153">
        <f t="shared" si="22"/>
        <v>617.29999999999995</v>
      </c>
      <c r="G230" s="3153">
        <f t="shared" si="24"/>
        <v>34756</v>
      </c>
      <c r="AF230" s="3152">
        <v>228</v>
      </c>
      <c r="AG230" s="3156" t="s">
        <v>3491</v>
      </c>
      <c r="AH230" s="3156" t="s">
        <v>3392</v>
      </c>
      <c r="AI230" s="3153">
        <v>1228</v>
      </c>
      <c r="AJ230" s="3153">
        <v>47.92</v>
      </c>
      <c r="AK230" s="3153">
        <f t="shared" si="23"/>
        <v>6.39</v>
      </c>
      <c r="AL230" s="3153">
        <f t="shared" si="25"/>
        <v>1333</v>
      </c>
    </row>
    <row r="231" spans="1:38" ht="14.25" thickBot="1">
      <c r="A231" s="3152">
        <v>229</v>
      </c>
      <c r="B231" s="3153" t="s">
        <v>3434</v>
      </c>
      <c r="C231" s="3153">
        <v>2</v>
      </c>
      <c r="D231" s="3153">
        <v>501</v>
      </c>
      <c r="E231" s="3153">
        <v>170.37</v>
      </c>
      <c r="F231" s="3153">
        <f t="shared" si="22"/>
        <v>592.1</v>
      </c>
      <c r="G231" s="3153">
        <f t="shared" si="24"/>
        <v>34756</v>
      </c>
      <c r="AF231" s="3152">
        <v>229</v>
      </c>
      <c r="AG231" s="3156" t="s">
        <v>3491</v>
      </c>
      <c r="AH231" s="3156" t="s">
        <v>3392</v>
      </c>
      <c r="AI231" s="3153">
        <v>1229</v>
      </c>
      <c r="AJ231" s="3153">
        <v>47.92</v>
      </c>
      <c r="AK231" s="3153">
        <f t="shared" si="23"/>
        <v>6.39</v>
      </c>
      <c r="AL231" s="3153">
        <f t="shared" si="25"/>
        <v>1333</v>
      </c>
    </row>
    <row r="232" spans="1:38" ht="14.25" thickBot="1">
      <c r="A232" s="3152">
        <v>230</v>
      </c>
      <c r="B232" s="3153" t="s">
        <v>3434</v>
      </c>
      <c r="C232" s="3153">
        <v>3</v>
      </c>
      <c r="D232" s="3153">
        <v>101</v>
      </c>
      <c r="E232" s="3153">
        <v>177.61</v>
      </c>
      <c r="F232" s="3153">
        <f t="shared" si="22"/>
        <v>617.29999999999995</v>
      </c>
      <c r="G232" s="3153">
        <f t="shared" si="24"/>
        <v>34756</v>
      </c>
      <c r="AF232" s="3152">
        <v>230</v>
      </c>
      <c r="AG232" s="3156" t="s">
        <v>3491</v>
      </c>
      <c r="AH232" s="3156" t="s">
        <v>3392</v>
      </c>
      <c r="AI232" s="3153">
        <v>1230</v>
      </c>
      <c r="AJ232" s="3153">
        <v>47.92</v>
      </c>
      <c r="AK232" s="3153">
        <f t="shared" si="23"/>
        <v>6.39</v>
      </c>
      <c r="AL232" s="3153">
        <f t="shared" si="25"/>
        <v>1333</v>
      </c>
    </row>
    <row r="233" spans="1:38" ht="14.25" thickBot="1">
      <c r="A233" s="3152">
        <v>231</v>
      </c>
      <c r="B233" s="3153" t="s">
        <v>3434</v>
      </c>
      <c r="C233" s="3153">
        <v>3</v>
      </c>
      <c r="D233" s="3153">
        <v>102</v>
      </c>
      <c r="E233" s="3153">
        <v>177.61</v>
      </c>
      <c r="F233" s="3153">
        <f t="shared" si="22"/>
        <v>617.29999999999995</v>
      </c>
      <c r="G233" s="3153">
        <f t="shared" si="24"/>
        <v>34756</v>
      </c>
      <c r="AF233" s="3152">
        <v>231</v>
      </c>
      <c r="AG233" s="3156" t="s">
        <v>3491</v>
      </c>
      <c r="AH233" s="3156" t="s">
        <v>3392</v>
      </c>
      <c r="AI233" s="3153">
        <v>1231</v>
      </c>
      <c r="AJ233" s="3153">
        <v>47.92</v>
      </c>
      <c r="AK233" s="3153">
        <f t="shared" si="23"/>
        <v>6.39</v>
      </c>
      <c r="AL233" s="3153">
        <f t="shared" si="25"/>
        <v>1333</v>
      </c>
    </row>
    <row r="234" spans="1:38" ht="14.25" thickBot="1">
      <c r="A234" s="3152">
        <v>232</v>
      </c>
      <c r="B234" s="3153" t="s">
        <v>3434</v>
      </c>
      <c r="C234" s="3153">
        <v>3</v>
      </c>
      <c r="D234" s="3153">
        <v>301</v>
      </c>
      <c r="E234" s="3153">
        <v>177.61</v>
      </c>
      <c r="F234" s="3153">
        <f t="shared" si="22"/>
        <v>617.29999999999995</v>
      </c>
      <c r="G234" s="3153">
        <f t="shared" si="24"/>
        <v>34756</v>
      </c>
      <c r="AF234" s="3152">
        <v>232</v>
      </c>
      <c r="AG234" s="3156" t="s">
        <v>3491</v>
      </c>
      <c r="AH234" s="3156" t="s">
        <v>3392</v>
      </c>
      <c r="AI234" s="3153">
        <v>1232</v>
      </c>
      <c r="AJ234" s="3153">
        <v>47.92</v>
      </c>
      <c r="AK234" s="3153">
        <f t="shared" si="23"/>
        <v>6.39</v>
      </c>
      <c r="AL234" s="3153">
        <f t="shared" si="25"/>
        <v>1333</v>
      </c>
    </row>
    <row r="235" spans="1:38" ht="14.25" thickBot="1">
      <c r="A235" s="3152">
        <v>233</v>
      </c>
      <c r="B235" s="3153" t="s">
        <v>3434</v>
      </c>
      <c r="C235" s="3153">
        <v>3</v>
      </c>
      <c r="D235" s="3153">
        <v>302</v>
      </c>
      <c r="E235" s="3153">
        <v>177.61</v>
      </c>
      <c r="F235" s="3153">
        <f t="shared" si="22"/>
        <v>617.29999999999995</v>
      </c>
      <c r="G235" s="3153">
        <f t="shared" si="24"/>
        <v>34756</v>
      </c>
      <c r="AF235" s="3152">
        <v>233</v>
      </c>
      <c r="AG235" s="3156" t="s">
        <v>3491</v>
      </c>
      <c r="AH235" s="3156" t="s">
        <v>3392</v>
      </c>
      <c r="AI235" s="3153">
        <v>1233</v>
      </c>
      <c r="AJ235" s="3153">
        <v>47.92</v>
      </c>
      <c r="AK235" s="3153">
        <f t="shared" si="23"/>
        <v>6.39</v>
      </c>
      <c r="AL235" s="3153">
        <f t="shared" si="25"/>
        <v>1333</v>
      </c>
    </row>
    <row r="236" spans="1:38" ht="14.25" thickBot="1">
      <c r="A236" s="3152">
        <v>234</v>
      </c>
      <c r="B236" s="3153" t="s">
        <v>3434</v>
      </c>
      <c r="C236" s="3153">
        <v>3</v>
      </c>
      <c r="D236" s="3153">
        <v>501</v>
      </c>
      <c r="E236" s="3153">
        <v>170.37</v>
      </c>
      <c r="F236" s="3153">
        <f t="shared" si="22"/>
        <v>592.1</v>
      </c>
      <c r="G236" s="3153">
        <f t="shared" si="24"/>
        <v>34756</v>
      </c>
      <c r="AF236" s="3152">
        <v>234</v>
      </c>
      <c r="AG236" s="3156" t="s">
        <v>3491</v>
      </c>
      <c r="AH236" s="3156" t="s">
        <v>3392</v>
      </c>
      <c r="AI236" s="3153">
        <v>1234</v>
      </c>
      <c r="AJ236" s="3153">
        <v>47.92</v>
      </c>
      <c r="AK236" s="3153">
        <f t="shared" si="23"/>
        <v>6.39</v>
      </c>
      <c r="AL236" s="3153">
        <f t="shared" si="25"/>
        <v>1333</v>
      </c>
    </row>
    <row r="237" spans="1:38" ht="14.25" thickBot="1">
      <c r="A237" s="3152">
        <v>235</v>
      </c>
      <c r="B237" s="3153" t="s">
        <v>3434</v>
      </c>
      <c r="C237" s="3153">
        <v>4</v>
      </c>
      <c r="D237" s="3153">
        <v>101</v>
      </c>
      <c r="E237" s="3153">
        <v>177.61</v>
      </c>
      <c r="F237" s="3153">
        <f t="shared" si="22"/>
        <v>617.29999999999995</v>
      </c>
      <c r="G237" s="3153">
        <f t="shared" si="24"/>
        <v>34756</v>
      </c>
      <c r="AF237" s="3152">
        <v>235</v>
      </c>
      <c r="AG237" s="3156" t="s">
        <v>3491</v>
      </c>
      <c r="AH237" s="3156" t="s">
        <v>3392</v>
      </c>
      <c r="AI237" s="3153">
        <v>1235</v>
      </c>
      <c r="AJ237" s="3153">
        <v>47.92</v>
      </c>
      <c r="AK237" s="3153">
        <f t="shared" si="23"/>
        <v>6.39</v>
      </c>
      <c r="AL237" s="3153">
        <f t="shared" si="25"/>
        <v>1333</v>
      </c>
    </row>
    <row r="238" spans="1:38" ht="14.25" thickBot="1">
      <c r="A238" s="3152">
        <v>236</v>
      </c>
      <c r="B238" s="3153" t="s">
        <v>3434</v>
      </c>
      <c r="C238" s="3153">
        <v>4</v>
      </c>
      <c r="D238" s="3153">
        <v>102</v>
      </c>
      <c r="E238" s="3153">
        <v>193.85</v>
      </c>
      <c r="F238" s="3153">
        <f t="shared" si="22"/>
        <v>673.7</v>
      </c>
      <c r="G238" s="3153">
        <f t="shared" si="24"/>
        <v>34756</v>
      </c>
      <c r="AF238" s="3152">
        <v>236</v>
      </c>
      <c r="AG238" s="3156" t="s">
        <v>3491</v>
      </c>
      <c r="AH238" s="3156" t="s">
        <v>3392</v>
      </c>
      <c r="AI238" s="3153">
        <v>1236</v>
      </c>
      <c r="AJ238" s="3153">
        <v>47.92</v>
      </c>
      <c r="AK238" s="3153">
        <f t="shared" si="23"/>
        <v>6.39</v>
      </c>
      <c r="AL238" s="3153">
        <f t="shared" si="25"/>
        <v>1333</v>
      </c>
    </row>
    <row r="239" spans="1:38" ht="14.25" thickBot="1">
      <c r="A239" s="3152">
        <v>237</v>
      </c>
      <c r="B239" s="3153" t="s">
        <v>3434</v>
      </c>
      <c r="C239" s="3153">
        <v>4</v>
      </c>
      <c r="D239" s="3153">
        <v>301</v>
      </c>
      <c r="E239" s="3153">
        <v>177.61</v>
      </c>
      <c r="F239" s="3153">
        <f t="shared" si="22"/>
        <v>617.29999999999995</v>
      </c>
      <c r="G239" s="3153">
        <f t="shared" si="24"/>
        <v>34756</v>
      </c>
      <c r="AF239" s="3152">
        <v>237</v>
      </c>
      <c r="AG239" s="3156" t="s">
        <v>3491</v>
      </c>
      <c r="AH239" s="3156" t="s">
        <v>3392</v>
      </c>
      <c r="AI239" s="3153">
        <v>1237</v>
      </c>
      <c r="AJ239" s="3153">
        <v>47.92</v>
      </c>
      <c r="AK239" s="3153">
        <f t="shared" si="23"/>
        <v>6.39</v>
      </c>
      <c r="AL239" s="3153">
        <f t="shared" si="25"/>
        <v>1333</v>
      </c>
    </row>
    <row r="240" spans="1:38" ht="14.25" thickBot="1">
      <c r="A240" s="3152">
        <v>238</v>
      </c>
      <c r="B240" s="3153" t="s">
        <v>3434</v>
      </c>
      <c r="C240" s="3153">
        <v>4</v>
      </c>
      <c r="D240" s="3153">
        <v>302</v>
      </c>
      <c r="E240" s="3153">
        <v>193.85</v>
      </c>
      <c r="F240" s="3153">
        <f t="shared" si="22"/>
        <v>673.7</v>
      </c>
      <c r="G240" s="3153">
        <f t="shared" si="24"/>
        <v>34756</v>
      </c>
      <c r="AF240" s="3152">
        <v>238</v>
      </c>
      <c r="AG240" s="3156" t="s">
        <v>3491</v>
      </c>
      <c r="AH240" s="3156" t="s">
        <v>3392</v>
      </c>
      <c r="AI240" s="3153">
        <v>1238</v>
      </c>
      <c r="AJ240" s="3153">
        <v>47.92</v>
      </c>
      <c r="AK240" s="3153">
        <f t="shared" si="23"/>
        <v>6.39</v>
      </c>
      <c r="AL240" s="3153">
        <f t="shared" si="25"/>
        <v>1333</v>
      </c>
    </row>
    <row r="241" spans="1:38" ht="14.25" thickBot="1">
      <c r="A241" s="3152">
        <v>239</v>
      </c>
      <c r="B241" s="3153" t="s">
        <v>3434</v>
      </c>
      <c r="C241" s="3153">
        <v>4</v>
      </c>
      <c r="D241" s="3153">
        <v>501</v>
      </c>
      <c r="E241" s="3153">
        <v>178.3</v>
      </c>
      <c r="F241" s="3153">
        <f t="shared" si="22"/>
        <v>619.70000000000005</v>
      </c>
      <c r="G241" s="3153">
        <f t="shared" si="24"/>
        <v>34756</v>
      </c>
      <c r="AF241" s="3152">
        <v>239</v>
      </c>
      <c r="AG241" s="3156" t="s">
        <v>3491</v>
      </c>
      <c r="AH241" s="3156" t="s">
        <v>3392</v>
      </c>
      <c r="AI241" s="3153">
        <v>1239</v>
      </c>
      <c r="AJ241" s="3153">
        <v>47.92</v>
      </c>
      <c r="AK241" s="3153">
        <f t="shared" si="23"/>
        <v>6.39</v>
      </c>
      <c r="AL241" s="3153">
        <f t="shared" si="25"/>
        <v>1333</v>
      </c>
    </row>
    <row r="242" spans="1:38" ht="14.25" thickBot="1">
      <c r="A242" s="3152">
        <v>240</v>
      </c>
      <c r="B242" s="3153" t="s">
        <v>3435</v>
      </c>
      <c r="C242" s="3153">
        <v>1</v>
      </c>
      <c r="D242" s="3153">
        <v>101</v>
      </c>
      <c r="E242" s="3153">
        <v>194.53</v>
      </c>
      <c r="F242" s="3153">
        <f t="shared" si="22"/>
        <v>676.1</v>
      </c>
      <c r="G242" s="3153">
        <f t="shared" si="24"/>
        <v>34756</v>
      </c>
      <c r="AF242" s="3152">
        <v>240</v>
      </c>
      <c r="AG242" s="3156" t="s">
        <v>3491</v>
      </c>
      <c r="AH242" s="3156" t="s">
        <v>3392</v>
      </c>
      <c r="AI242" s="3153">
        <v>1240</v>
      </c>
      <c r="AJ242" s="3153">
        <v>47.92</v>
      </c>
      <c r="AK242" s="3153">
        <f t="shared" si="23"/>
        <v>6.39</v>
      </c>
      <c r="AL242" s="3153">
        <f t="shared" si="25"/>
        <v>1333</v>
      </c>
    </row>
    <row r="243" spans="1:38" ht="14.25" thickBot="1">
      <c r="A243" s="3152">
        <v>241</v>
      </c>
      <c r="B243" s="3153" t="s">
        <v>3435</v>
      </c>
      <c r="C243" s="3153">
        <v>1</v>
      </c>
      <c r="D243" s="3153">
        <v>102</v>
      </c>
      <c r="E243" s="3153">
        <v>178.23</v>
      </c>
      <c r="F243" s="3153">
        <f t="shared" si="22"/>
        <v>619.5</v>
      </c>
      <c r="G243" s="3153">
        <f t="shared" si="24"/>
        <v>34756</v>
      </c>
      <c r="AF243" s="3152">
        <v>241</v>
      </c>
      <c r="AG243" s="3156" t="s">
        <v>3491</v>
      </c>
      <c r="AH243" s="3156" t="s">
        <v>3392</v>
      </c>
      <c r="AI243" s="3153">
        <v>1241</v>
      </c>
      <c r="AJ243" s="3153">
        <v>47.92</v>
      </c>
      <c r="AK243" s="3153">
        <f t="shared" si="23"/>
        <v>6.39</v>
      </c>
      <c r="AL243" s="3153">
        <f t="shared" si="25"/>
        <v>1333</v>
      </c>
    </row>
    <row r="244" spans="1:38" ht="14.25" thickBot="1">
      <c r="A244" s="3152">
        <v>242</v>
      </c>
      <c r="B244" s="3153" t="s">
        <v>3435</v>
      </c>
      <c r="C244" s="3153">
        <v>1</v>
      </c>
      <c r="D244" s="3153">
        <v>301</v>
      </c>
      <c r="E244" s="3153">
        <v>194.53</v>
      </c>
      <c r="F244" s="3153">
        <f t="shared" si="22"/>
        <v>676.1</v>
      </c>
      <c r="G244" s="3153">
        <f t="shared" si="24"/>
        <v>34756</v>
      </c>
      <c r="AF244" s="3152">
        <v>242</v>
      </c>
      <c r="AG244" s="3156" t="s">
        <v>3491</v>
      </c>
      <c r="AH244" s="3156" t="s">
        <v>3392</v>
      </c>
      <c r="AI244" s="3153">
        <v>1242</v>
      </c>
      <c r="AJ244" s="3153">
        <v>47.92</v>
      </c>
      <c r="AK244" s="3153">
        <f t="shared" si="23"/>
        <v>6.39</v>
      </c>
      <c r="AL244" s="3153">
        <f t="shared" si="25"/>
        <v>1333</v>
      </c>
    </row>
    <row r="245" spans="1:38" ht="14.25" thickBot="1">
      <c r="A245" s="3152">
        <v>243</v>
      </c>
      <c r="B245" s="3153" t="s">
        <v>3435</v>
      </c>
      <c r="C245" s="3153">
        <v>1</v>
      </c>
      <c r="D245" s="3153">
        <v>302</v>
      </c>
      <c r="E245" s="3153">
        <v>178.23</v>
      </c>
      <c r="F245" s="3153">
        <f t="shared" si="22"/>
        <v>619.5</v>
      </c>
      <c r="G245" s="3153">
        <f t="shared" si="24"/>
        <v>34756</v>
      </c>
      <c r="AF245" s="3152">
        <v>243</v>
      </c>
      <c r="AG245" s="3156" t="s">
        <v>3491</v>
      </c>
      <c r="AH245" s="3156" t="s">
        <v>3392</v>
      </c>
      <c r="AI245" s="3153">
        <v>1243</v>
      </c>
      <c r="AJ245" s="3153">
        <v>47.92</v>
      </c>
      <c r="AK245" s="3153">
        <f t="shared" si="23"/>
        <v>6.39</v>
      </c>
      <c r="AL245" s="3153">
        <f t="shared" si="25"/>
        <v>1333</v>
      </c>
    </row>
    <row r="246" spans="1:38" ht="14.25" thickBot="1">
      <c r="A246" s="3152">
        <v>244</v>
      </c>
      <c r="B246" s="3153" t="s">
        <v>3435</v>
      </c>
      <c r="C246" s="3153">
        <v>2</v>
      </c>
      <c r="D246" s="3153">
        <v>101</v>
      </c>
      <c r="E246" s="3153">
        <v>178.23</v>
      </c>
      <c r="F246" s="3153">
        <f t="shared" si="22"/>
        <v>619.5</v>
      </c>
      <c r="G246" s="3153">
        <f t="shared" si="24"/>
        <v>34756</v>
      </c>
      <c r="AF246" s="3152">
        <v>244</v>
      </c>
      <c r="AG246" s="3156" t="s">
        <v>3491</v>
      </c>
      <c r="AH246" s="3156" t="s">
        <v>3392</v>
      </c>
      <c r="AI246" s="3153">
        <v>1244</v>
      </c>
      <c r="AJ246" s="3153">
        <v>47.92</v>
      </c>
      <c r="AK246" s="3153">
        <f t="shared" si="23"/>
        <v>6.39</v>
      </c>
      <c r="AL246" s="3153">
        <f t="shared" si="25"/>
        <v>1333</v>
      </c>
    </row>
    <row r="247" spans="1:38" ht="14.25" thickBot="1">
      <c r="A247" s="3152">
        <v>245</v>
      </c>
      <c r="B247" s="3153" t="s">
        <v>3435</v>
      </c>
      <c r="C247" s="3153">
        <v>2</v>
      </c>
      <c r="D247" s="3153">
        <v>102</v>
      </c>
      <c r="E247" s="3153">
        <v>178.23</v>
      </c>
      <c r="F247" s="3153">
        <f t="shared" si="22"/>
        <v>619.5</v>
      </c>
      <c r="G247" s="3153">
        <f t="shared" si="24"/>
        <v>34756</v>
      </c>
      <c r="AF247" s="3152">
        <v>245</v>
      </c>
      <c r="AG247" s="3156" t="s">
        <v>3491</v>
      </c>
      <c r="AH247" s="3156" t="s">
        <v>3392</v>
      </c>
      <c r="AI247" s="3153">
        <v>1245</v>
      </c>
      <c r="AJ247" s="3153">
        <v>47.92</v>
      </c>
      <c r="AK247" s="3153">
        <f t="shared" si="23"/>
        <v>6.39</v>
      </c>
      <c r="AL247" s="3153">
        <f t="shared" si="25"/>
        <v>1333</v>
      </c>
    </row>
    <row r="248" spans="1:38" ht="14.25" thickBot="1">
      <c r="A248" s="3152">
        <v>246</v>
      </c>
      <c r="B248" s="3153" t="s">
        <v>3435</v>
      </c>
      <c r="C248" s="3153">
        <v>2</v>
      </c>
      <c r="D248" s="3153">
        <v>301</v>
      </c>
      <c r="E248" s="3153">
        <v>178.23</v>
      </c>
      <c r="F248" s="3153">
        <f t="shared" si="22"/>
        <v>619.5</v>
      </c>
      <c r="G248" s="3153">
        <f t="shared" si="24"/>
        <v>34756</v>
      </c>
      <c r="AF248" s="3152">
        <v>246</v>
      </c>
      <c r="AG248" s="3156" t="s">
        <v>3491</v>
      </c>
      <c r="AH248" s="3156" t="s">
        <v>3392</v>
      </c>
      <c r="AI248" s="3153">
        <v>1246</v>
      </c>
      <c r="AJ248" s="3153">
        <v>47.92</v>
      </c>
      <c r="AK248" s="3153">
        <f t="shared" si="23"/>
        <v>6.39</v>
      </c>
      <c r="AL248" s="3153">
        <f t="shared" si="25"/>
        <v>1333</v>
      </c>
    </row>
    <row r="249" spans="1:38" ht="14.25" thickBot="1">
      <c r="A249" s="3152">
        <v>247</v>
      </c>
      <c r="B249" s="3153" t="s">
        <v>3435</v>
      </c>
      <c r="C249" s="3153">
        <v>2</v>
      </c>
      <c r="D249" s="3153">
        <v>302</v>
      </c>
      <c r="E249" s="3153">
        <v>178.23</v>
      </c>
      <c r="F249" s="3153">
        <f t="shared" si="22"/>
        <v>619.5</v>
      </c>
      <c r="G249" s="3153">
        <f t="shared" si="24"/>
        <v>34756</v>
      </c>
      <c r="AF249" s="3152">
        <v>247</v>
      </c>
      <c r="AG249" s="3156" t="s">
        <v>3491</v>
      </c>
      <c r="AH249" s="3156" t="s">
        <v>3392</v>
      </c>
      <c r="AI249" s="3153">
        <v>1247</v>
      </c>
      <c r="AJ249" s="3153">
        <v>47.92</v>
      </c>
      <c r="AK249" s="3153">
        <f t="shared" si="23"/>
        <v>6.39</v>
      </c>
      <c r="AL249" s="3153">
        <f t="shared" si="25"/>
        <v>1333</v>
      </c>
    </row>
    <row r="250" spans="1:38" ht="14.25" thickBot="1">
      <c r="A250" s="3152">
        <v>248</v>
      </c>
      <c r="B250" s="3153" t="s">
        <v>3435</v>
      </c>
      <c r="C250" s="3153">
        <v>3</v>
      </c>
      <c r="D250" s="3153">
        <v>101</v>
      </c>
      <c r="E250" s="3153">
        <v>178.23</v>
      </c>
      <c r="F250" s="3153">
        <f t="shared" si="22"/>
        <v>619.5</v>
      </c>
      <c r="G250" s="3153">
        <f t="shared" si="24"/>
        <v>34756</v>
      </c>
      <c r="AF250" s="3152">
        <v>248</v>
      </c>
      <c r="AG250" s="3156" t="s">
        <v>3491</v>
      </c>
      <c r="AH250" s="3156" t="s">
        <v>3392</v>
      </c>
      <c r="AI250" s="3153">
        <v>1248</v>
      </c>
      <c r="AJ250" s="3153">
        <v>47.92</v>
      </c>
      <c r="AK250" s="3153">
        <f t="shared" si="23"/>
        <v>6.39</v>
      </c>
      <c r="AL250" s="3153">
        <f t="shared" si="25"/>
        <v>1333</v>
      </c>
    </row>
    <row r="251" spans="1:38" ht="14.25" thickBot="1">
      <c r="A251" s="3152">
        <v>249</v>
      </c>
      <c r="B251" s="3153" t="s">
        <v>3435</v>
      </c>
      <c r="C251" s="3153">
        <v>3</v>
      </c>
      <c r="D251" s="3153">
        <v>102</v>
      </c>
      <c r="E251" s="3153">
        <v>178.23</v>
      </c>
      <c r="F251" s="3153">
        <f t="shared" si="22"/>
        <v>619.5</v>
      </c>
      <c r="G251" s="3153">
        <f t="shared" si="24"/>
        <v>34756</v>
      </c>
      <c r="AF251" s="3152">
        <v>249</v>
      </c>
      <c r="AG251" s="3156" t="s">
        <v>3491</v>
      </c>
      <c r="AH251" s="3156" t="s">
        <v>3392</v>
      </c>
      <c r="AI251" s="3153">
        <v>1249</v>
      </c>
      <c r="AJ251" s="3153">
        <v>47.92</v>
      </c>
      <c r="AK251" s="3153">
        <f t="shared" si="23"/>
        <v>6.39</v>
      </c>
      <c r="AL251" s="3153">
        <f t="shared" si="25"/>
        <v>1333</v>
      </c>
    </row>
    <row r="252" spans="1:38" ht="14.25" thickBot="1">
      <c r="A252" s="3152">
        <v>250</v>
      </c>
      <c r="B252" s="3153" t="s">
        <v>3435</v>
      </c>
      <c r="C252" s="3153">
        <v>3</v>
      </c>
      <c r="D252" s="3153">
        <v>301</v>
      </c>
      <c r="E252" s="3153">
        <v>178.23</v>
      </c>
      <c r="F252" s="3153">
        <f t="shared" si="22"/>
        <v>619.5</v>
      </c>
      <c r="G252" s="3153">
        <f t="shared" si="24"/>
        <v>34756</v>
      </c>
      <c r="AF252" s="3152">
        <v>250</v>
      </c>
      <c r="AG252" s="3156" t="s">
        <v>3491</v>
      </c>
      <c r="AH252" s="3156" t="s">
        <v>3392</v>
      </c>
      <c r="AI252" s="3153">
        <v>1250</v>
      </c>
      <c r="AJ252" s="3153">
        <v>47.92</v>
      </c>
      <c r="AK252" s="3153">
        <f t="shared" si="23"/>
        <v>6.39</v>
      </c>
      <c r="AL252" s="3153">
        <f t="shared" si="25"/>
        <v>1333</v>
      </c>
    </row>
    <row r="253" spans="1:38" ht="14.25" thickBot="1">
      <c r="A253" s="3152">
        <v>251</v>
      </c>
      <c r="B253" s="3153" t="s">
        <v>3435</v>
      </c>
      <c r="C253" s="3153">
        <v>3</v>
      </c>
      <c r="D253" s="3153">
        <v>302</v>
      </c>
      <c r="E253" s="3153">
        <v>178.23</v>
      </c>
      <c r="F253" s="3153">
        <f t="shared" si="22"/>
        <v>619.5</v>
      </c>
      <c r="G253" s="3153">
        <f t="shared" si="24"/>
        <v>34756</v>
      </c>
      <c r="AF253" s="3152">
        <v>251</v>
      </c>
      <c r="AG253" s="3156" t="s">
        <v>3491</v>
      </c>
      <c r="AH253" s="3156" t="s">
        <v>3392</v>
      </c>
      <c r="AI253" s="3153">
        <v>1251</v>
      </c>
      <c r="AJ253" s="3153">
        <v>47.92</v>
      </c>
      <c r="AK253" s="3153">
        <f t="shared" si="23"/>
        <v>6.39</v>
      </c>
      <c r="AL253" s="3153">
        <f t="shared" si="25"/>
        <v>1333</v>
      </c>
    </row>
    <row r="254" spans="1:38" ht="14.25" thickBot="1">
      <c r="A254" s="3152">
        <v>252</v>
      </c>
      <c r="B254" s="3153" t="s">
        <v>3435</v>
      </c>
      <c r="C254" s="3153">
        <v>4</v>
      </c>
      <c r="D254" s="3153">
        <v>101</v>
      </c>
      <c r="E254" s="3153">
        <v>178.23</v>
      </c>
      <c r="F254" s="3153">
        <f t="shared" si="22"/>
        <v>619.5</v>
      </c>
      <c r="G254" s="3153">
        <f t="shared" si="24"/>
        <v>34756</v>
      </c>
      <c r="AF254" s="3152">
        <v>252</v>
      </c>
      <c r="AG254" s="3156" t="s">
        <v>3491</v>
      </c>
      <c r="AH254" s="3156" t="s">
        <v>3392</v>
      </c>
      <c r="AI254" s="3153">
        <v>1252</v>
      </c>
      <c r="AJ254" s="3153">
        <v>47.92</v>
      </c>
      <c r="AK254" s="3153">
        <f t="shared" si="23"/>
        <v>6.39</v>
      </c>
      <c r="AL254" s="3153">
        <f t="shared" si="25"/>
        <v>1333</v>
      </c>
    </row>
    <row r="255" spans="1:38" ht="14.25" thickBot="1">
      <c r="A255" s="3152">
        <v>253</v>
      </c>
      <c r="B255" s="3153" t="s">
        <v>3435</v>
      </c>
      <c r="C255" s="3153">
        <v>4</v>
      </c>
      <c r="D255" s="3153">
        <v>102</v>
      </c>
      <c r="E255" s="3153">
        <v>194.53</v>
      </c>
      <c r="F255" s="3153">
        <f t="shared" si="22"/>
        <v>676.1</v>
      </c>
      <c r="G255" s="3153">
        <f t="shared" si="24"/>
        <v>34756</v>
      </c>
      <c r="AF255" s="3152">
        <v>253</v>
      </c>
      <c r="AG255" s="3156" t="s">
        <v>3491</v>
      </c>
      <c r="AH255" s="3156" t="s">
        <v>3392</v>
      </c>
      <c r="AI255" s="3153">
        <v>1253</v>
      </c>
      <c r="AJ255" s="3153">
        <v>47.92</v>
      </c>
      <c r="AK255" s="3153">
        <f t="shared" si="23"/>
        <v>6.39</v>
      </c>
      <c r="AL255" s="3153">
        <f t="shared" si="25"/>
        <v>1333</v>
      </c>
    </row>
    <row r="256" spans="1:38" ht="14.25" thickBot="1">
      <c r="A256" s="3152">
        <v>254</v>
      </c>
      <c r="B256" s="3153" t="s">
        <v>3435</v>
      </c>
      <c r="C256" s="3153">
        <v>4</v>
      </c>
      <c r="D256" s="3153">
        <v>301</v>
      </c>
      <c r="E256" s="3153">
        <v>178.23</v>
      </c>
      <c r="F256" s="3153">
        <f t="shared" si="22"/>
        <v>619.5</v>
      </c>
      <c r="G256" s="3153">
        <f t="shared" si="24"/>
        <v>34756</v>
      </c>
      <c r="AF256" s="3152">
        <v>254</v>
      </c>
      <c r="AG256" s="3156" t="s">
        <v>3491</v>
      </c>
      <c r="AH256" s="3156" t="s">
        <v>3392</v>
      </c>
      <c r="AI256" s="3153">
        <v>1254</v>
      </c>
      <c r="AJ256" s="3153">
        <v>47.92</v>
      </c>
      <c r="AK256" s="3153">
        <f t="shared" si="23"/>
        <v>6.39</v>
      </c>
      <c r="AL256" s="3153">
        <f t="shared" si="25"/>
        <v>1333</v>
      </c>
    </row>
    <row r="257" spans="1:38" ht="14.25" thickBot="1">
      <c r="A257" s="3152">
        <v>255</v>
      </c>
      <c r="B257" s="3153" t="s">
        <v>3435</v>
      </c>
      <c r="C257" s="3153">
        <v>4</v>
      </c>
      <c r="D257" s="3153">
        <v>302</v>
      </c>
      <c r="E257" s="3153">
        <v>194.53</v>
      </c>
      <c r="F257" s="3153">
        <f t="shared" si="22"/>
        <v>676.1</v>
      </c>
      <c r="G257" s="3153">
        <f t="shared" si="24"/>
        <v>34756</v>
      </c>
      <c r="AF257" s="3152">
        <v>255</v>
      </c>
      <c r="AG257" s="3156" t="s">
        <v>3491</v>
      </c>
      <c r="AH257" s="3156" t="s">
        <v>3392</v>
      </c>
      <c r="AI257" s="3153">
        <v>1255</v>
      </c>
      <c r="AJ257" s="3153">
        <v>47.92</v>
      </c>
      <c r="AK257" s="3153">
        <f t="shared" si="23"/>
        <v>6.39</v>
      </c>
      <c r="AL257" s="3153">
        <f t="shared" si="25"/>
        <v>1333</v>
      </c>
    </row>
    <row r="258" spans="1:38" ht="14.25" thickBot="1">
      <c r="A258" s="3152">
        <v>256</v>
      </c>
      <c r="B258" s="3153" t="s">
        <v>3436</v>
      </c>
      <c r="C258" s="3153">
        <v>1</v>
      </c>
      <c r="D258" s="3153">
        <v>101</v>
      </c>
      <c r="E258" s="3153">
        <v>194.57</v>
      </c>
      <c r="F258" s="3153">
        <f t="shared" si="22"/>
        <v>676.2</v>
      </c>
      <c r="G258" s="3153">
        <f t="shared" si="24"/>
        <v>34756</v>
      </c>
      <c r="AF258" s="3152">
        <v>256</v>
      </c>
      <c r="AG258" s="3156" t="s">
        <v>3491</v>
      </c>
      <c r="AH258" s="3156" t="s">
        <v>3392</v>
      </c>
      <c r="AI258" s="3153">
        <v>1256</v>
      </c>
      <c r="AJ258" s="3153">
        <v>47.92</v>
      </c>
      <c r="AK258" s="3153">
        <f t="shared" si="23"/>
        <v>6.39</v>
      </c>
      <c r="AL258" s="3153">
        <f t="shared" si="25"/>
        <v>1333</v>
      </c>
    </row>
    <row r="259" spans="1:38" ht="14.25" thickBot="1">
      <c r="A259" s="3152">
        <v>257</v>
      </c>
      <c r="B259" s="3153" t="s">
        <v>3436</v>
      </c>
      <c r="C259" s="3153">
        <v>1</v>
      </c>
      <c r="D259" s="3153">
        <v>102</v>
      </c>
      <c r="E259" s="3153">
        <v>178.27</v>
      </c>
      <c r="F259" s="3153">
        <f t="shared" si="22"/>
        <v>619.6</v>
      </c>
      <c r="G259" s="3153">
        <f t="shared" si="24"/>
        <v>34756</v>
      </c>
      <c r="AF259" s="3152">
        <v>257</v>
      </c>
      <c r="AG259" s="3156" t="s">
        <v>3491</v>
      </c>
      <c r="AH259" s="3156" t="s">
        <v>3392</v>
      </c>
      <c r="AI259" s="3153">
        <v>1257</v>
      </c>
      <c r="AJ259" s="3153">
        <v>47.92</v>
      </c>
      <c r="AK259" s="3153">
        <f t="shared" si="23"/>
        <v>6.39</v>
      </c>
      <c r="AL259" s="3153">
        <f t="shared" si="25"/>
        <v>1333</v>
      </c>
    </row>
    <row r="260" spans="1:38" ht="14.25" thickBot="1">
      <c r="A260" s="3152">
        <v>258</v>
      </c>
      <c r="B260" s="3153" t="s">
        <v>3436</v>
      </c>
      <c r="C260" s="3153">
        <v>1</v>
      </c>
      <c r="D260" s="3153">
        <v>301</v>
      </c>
      <c r="E260" s="3153">
        <v>194.57</v>
      </c>
      <c r="F260" s="3153">
        <f t="shared" ref="F260:F323" si="26">ROUND(G260*E260/10000,1)</f>
        <v>676.2</v>
      </c>
      <c r="G260" s="3153">
        <f t="shared" si="24"/>
        <v>34756</v>
      </c>
      <c r="AF260" s="3152">
        <v>258</v>
      </c>
      <c r="AG260" s="3156" t="s">
        <v>3491</v>
      </c>
      <c r="AH260" s="3156" t="s">
        <v>3392</v>
      </c>
      <c r="AI260" s="3153">
        <v>1258</v>
      </c>
      <c r="AJ260" s="3153">
        <v>47.92</v>
      </c>
      <c r="AK260" s="3153">
        <f t="shared" ref="AK260:AK323" si="27">ROUND(AL260*AJ260/10000,2)</f>
        <v>6.39</v>
      </c>
      <c r="AL260" s="3153">
        <f t="shared" si="25"/>
        <v>1333</v>
      </c>
    </row>
    <row r="261" spans="1:38" ht="14.25" thickBot="1">
      <c r="A261" s="3152">
        <v>259</v>
      </c>
      <c r="B261" s="3153" t="s">
        <v>3436</v>
      </c>
      <c r="C261" s="3153">
        <v>1</v>
      </c>
      <c r="D261" s="3153">
        <v>302</v>
      </c>
      <c r="E261" s="3153">
        <v>178.27</v>
      </c>
      <c r="F261" s="3153">
        <f t="shared" si="26"/>
        <v>619.6</v>
      </c>
      <c r="G261" s="3153">
        <f t="shared" ref="G261:G324" si="28">G260</f>
        <v>34756</v>
      </c>
      <c r="AF261" s="3152">
        <v>259</v>
      </c>
      <c r="AG261" s="3156" t="s">
        <v>3491</v>
      </c>
      <c r="AH261" s="3156" t="s">
        <v>3392</v>
      </c>
      <c r="AI261" s="3153">
        <v>1259</v>
      </c>
      <c r="AJ261" s="3153">
        <v>47.92</v>
      </c>
      <c r="AK261" s="3153">
        <f t="shared" si="27"/>
        <v>6.39</v>
      </c>
      <c r="AL261" s="3153">
        <f t="shared" ref="AL261:AL324" si="29">AL260</f>
        <v>1333</v>
      </c>
    </row>
    <row r="262" spans="1:38" ht="14.25" thickBot="1">
      <c r="A262" s="3152">
        <v>260</v>
      </c>
      <c r="B262" s="3153" t="s">
        <v>3436</v>
      </c>
      <c r="C262" s="3153">
        <v>2</v>
      </c>
      <c r="D262" s="3153">
        <v>101</v>
      </c>
      <c r="E262" s="3153">
        <v>178.27</v>
      </c>
      <c r="F262" s="3153">
        <f t="shared" si="26"/>
        <v>619.6</v>
      </c>
      <c r="G262" s="3153">
        <f t="shared" si="28"/>
        <v>34756</v>
      </c>
      <c r="AF262" s="3152">
        <v>260</v>
      </c>
      <c r="AG262" s="3156" t="s">
        <v>3491</v>
      </c>
      <c r="AH262" s="3156" t="s">
        <v>3392</v>
      </c>
      <c r="AI262" s="3153">
        <v>1260</v>
      </c>
      <c r="AJ262" s="3153">
        <v>47.92</v>
      </c>
      <c r="AK262" s="3153">
        <f t="shared" si="27"/>
        <v>6.39</v>
      </c>
      <c r="AL262" s="3153">
        <f t="shared" si="29"/>
        <v>1333</v>
      </c>
    </row>
    <row r="263" spans="1:38" ht="14.25" thickBot="1">
      <c r="A263" s="3152">
        <v>261</v>
      </c>
      <c r="B263" s="3153" t="s">
        <v>3436</v>
      </c>
      <c r="C263" s="3153">
        <v>2</v>
      </c>
      <c r="D263" s="3153">
        <v>102</v>
      </c>
      <c r="E263" s="3153">
        <v>178.27</v>
      </c>
      <c r="F263" s="3153">
        <f t="shared" si="26"/>
        <v>619.6</v>
      </c>
      <c r="G263" s="3153">
        <f t="shared" si="28"/>
        <v>34756</v>
      </c>
      <c r="AF263" s="3152">
        <v>261</v>
      </c>
      <c r="AG263" s="3156" t="s">
        <v>3491</v>
      </c>
      <c r="AH263" s="3156" t="s">
        <v>3392</v>
      </c>
      <c r="AI263" s="3153">
        <v>1261</v>
      </c>
      <c r="AJ263" s="3153">
        <v>47.92</v>
      </c>
      <c r="AK263" s="3153">
        <f t="shared" si="27"/>
        <v>6.39</v>
      </c>
      <c r="AL263" s="3153">
        <f t="shared" si="29"/>
        <v>1333</v>
      </c>
    </row>
    <row r="264" spans="1:38" ht="14.25" thickBot="1">
      <c r="A264" s="3152">
        <v>262</v>
      </c>
      <c r="B264" s="3153" t="s">
        <v>3436</v>
      </c>
      <c r="C264" s="3153">
        <v>2</v>
      </c>
      <c r="D264" s="3153">
        <v>301</v>
      </c>
      <c r="E264" s="3153">
        <v>178.27</v>
      </c>
      <c r="F264" s="3153">
        <f t="shared" si="26"/>
        <v>619.6</v>
      </c>
      <c r="G264" s="3153">
        <f t="shared" si="28"/>
        <v>34756</v>
      </c>
      <c r="AF264" s="3152">
        <v>262</v>
      </c>
      <c r="AG264" s="3156" t="s">
        <v>3491</v>
      </c>
      <c r="AH264" s="3156" t="s">
        <v>3392</v>
      </c>
      <c r="AI264" s="3153">
        <v>1262</v>
      </c>
      <c r="AJ264" s="3153">
        <v>47.92</v>
      </c>
      <c r="AK264" s="3153">
        <f t="shared" si="27"/>
        <v>6.39</v>
      </c>
      <c r="AL264" s="3153">
        <f t="shared" si="29"/>
        <v>1333</v>
      </c>
    </row>
    <row r="265" spans="1:38" ht="14.25" thickBot="1">
      <c r="A265" s="3152">
        <v>263</v>
      </c>
      <c r="B265" s="3153" t="s">
        <v>3436</v>
      </c>
      <c r="C265" s="3153">
        <v>2</v>
      </c>
      <c r="D265" s="3153">
        <v>302</v>
      </c>
      <c r="E265" s="3153">
        <v>178.27</v>
      </c>
      <c r="F265" s="3153">
        <f t="shared" si="26"/>
        <v>619.6</v>
      </c>
      <c r="G265" s="3153">
        <f t="shared" si="28"/>
        <v>34756</v>
      </c>
      <c r="AF265" s="3152">
        <v>263</v>
      </c>
      <c r="AG265" s="3156" t="s">
        <v>3491</v>
      </c>
      <c r="AH265" s="3156" t="s">
        <v>3392</v>
      </c>
      <c r="AI265" s="3153">
        <v>1263</v>
      </c>
      <c r="AJ265" s="3153">
        <v>47.92</v>
      </c>
      <c r="AK265" s="3153">
        <f t="shared" si="27"/>
        <v>6.39</v>
      </c>
      <c r="AL265" s="3153">
        <f t="shared" si="29"/>
        <v>1333</v>
      </c>
    </row>
    <row r="266" spans="1:38" ht="14.25" thickBot="1">
      <c r="A266" s="3152">
        <v>264</v>
      </c>
      <c r="B266" s="3153" t="s">
        <v>3436</v>
      </c>
      <c r="C266" s="3153">
        <v>3</v>
      </c>
      <c r="D266" s="3153">
        <v>101</v>
      </c>
      <c r="E266" s="3153">
        <v>178.27</v>
      </c>
      <c r="F266" s="3153">
        <f t="shared" si="26"/>
        <v>619.6</v>
      </c>
      <c r="G266" s="3153">
        <f t="shared" si="28"/>
        <v>34756</v>
      </c>
      <c r="AF266" s="3152">
        <v>264</v>
      </c>
      <c r="AG266" s="3156" t="s">
        <v>3491</v>
      </c>
      <c r="AH266" s="3156" t="s">
        <v>3392</v>
      </c>
      <c r="AI266" s="3153">
        <v>1264</v>
      </c>
      <c r="AJ266" s="3153">
        <v>47.92</v>
      </c>
      <c r="AK266" s="3153">
        <f t="shared" si="27"/>
        <v>6.39</v>
      </c>
      <c r="AL266" s="3153">
        <f t="shared" si="29"/>
        <v>1333</v>
      </c>
    </row>
    <row r="267" spans="1:38" ht="14.25" thickBot="1">
      <c r="A267" s="3152">
        <v>265</v>
      </c>
      <c r="B267" s="3153" t="s">
        <v>3436</v>
      </c>
      <c r="C267" s="3153">
        <v>3</v>
      </c>
      <c r="D267" s="3153">
        <v>102</v>
      </c>
      <c r="E267" s="3153">
        <v>194.57</v>
      </c>
      <c r="F267" s="3153">
        <f t="shared" si="26"/>
        <v>676.2</v>
      </c>
      <c r="G267" s="3153">
        <f t="shared" si="28"/>
        <v>34756</v>
      </c>
      <c r="AF267" s="3152">
        <v>265</v>
      </c>
      <c r="AG267" s="3156" t="s">
        <v>3491</v>
      </c>
      <c r="AH267" s="3156" t="s">
        <v>3392</v>
      </c>
      <c r="AI267" s="3153">
        <v>1265</v>
      </c>
      <c r="AJ267" s="3153">
        <v>47.92</v>
      </c>
      <c r="AK267" s="3153">
        <f t="shared" si="27"/>
        <v>6.39</v>
      </c>
      <c r="AL267" s="3153">
        <f t="shared" si="29"/>
        <v>1333</v>
      </c>
    </row>
    <row r="268" spans="1:38" ht="14.25" thickBot="1">
      <c r="A268" s="3152">
        <v>266</v>
      </c>
      <c r="B268" s="3153" t="s">
        <v>3436</v>
      </c>
      <c r="C268" s="3153">
        <v>3</v>
      </c>
      <c r="D268" s="3153">
        <v>301</v>
      </c>
      <c r="E268" s="3153">
        <v>178.27</v>
      </c>
      <c r="F268" s="3153">
        <f t="shared" si="26"/>
        <v>619.6</v>
      </c>
      <c r="G268" s="3153">
        <f t="shared" si="28"/>
        <v>34756</v>
      </c>
      <c r="AF268" s="3152">
        <v>266</v>
      </c>
      <c r="AG268" s="3156" t="s">
        <v>3491</v>
      </c>
      <c r="AH268" s="3156" t="s">
        <v>3392</v>
      </c>
      <c r="AI268" s="3153">
        <v>1266</v>
      </c>
      <c r="AJ268" s="3153">
        <v>47.92</v>
      </c>
      <c r="AK268" s="3153">
        <f t="shared" si="27"/>
        <v>6.39</v>
      </c>
      <c r="AL268" s="3153">
        <f t="shared" si="29"/>
        <v>1333</v>
      </c>
    </row>
    <row r="269" spans="1:38" ht="14.25" thickBot="1">
      <c r="A269" s="3152">
        <v>267</v>
      </c>
      <c r="B269" s="3153" t="s">
        <v>3436</v>
      </c>
      <c r="C269" s="3153">
        <v>3</v>
      </c>
      <c r="D269" s="3153">
        <v>302</v>
      </c>
      <c r="E269" s="3153">
        <v>194.57</v>
      </c>
      <c r="F269" s="3153">
        <f t="shared" si="26"/>
        <v>676.2</v>
      </c>
      <c r="G269" s="3153">
        <f t="shared" si="28"/>
        <v>34756</v>
      </c>
      <c r="AF269" s="3152">
        <v>267</v>
      </c>
      <c r="AG269" s="3156" t="s">
        <v>3491</v>
      </c>
      <c r="AH269" s="3156" t="s">
        <v>3392</v>
      </c>
      <c r="AI269" s="3153">
        <v>1267</v>
      </c>
      <c r="AJ269" s="3153">
        <v>47.92</v>
      </c>
      <c r="AK269" s="3153">
        <f t="shared" si="27"/>
        <v>6.39</v>
      </c>
      <c r="AL269" s="3153">
        <f t="shared" si="29"/>
        <v>1333</v>
      </c>
    </row>
    <row r="270" spans="1:38" ht="14.25" thickBot="1">
      <c r="A270" s="3152">
        <v>268</v>
      </c>
      <c r="B270" s="3153" t="s">
        <v>3437</v>
      </c>
      <c r="C270" s="3153">
        <v>1</v>
      </c>
      <c r="D270" s="3153">
        <v>101</v>
      </c>
      <c r="E270" s="3153">
        <v>191.15</v>
      </c>
      <c r="F270" s="3153">
        <f t="shared" si="26"/>
        <v>664.4</v>
      </c>
      <c r="G270" s="3153">
        <f t="shared" si="28"/>
        <v>34756</v>
      </c>
      <c r="AF270" s="3152">
        <v>268</v>
      </c>
      <c r="AG270" s="3156" t="s">
        <v>3491</v>
      </c>
      <c r="AH270" s="3156" t="s">
        <v>3392</v>
      </c>
      <c r="AI270" s="3153">
        <v>1268</v>
      </c>
      <c r="AJ270" s="3153">
        <v>47.92</v>
      </c>
      <c r="AK270" s="3153">
        <f t="shared" si="27"/>
        <v>6.39</v>
      </c>
      <c r="AL270" s="3153">
        <f t="shared" si="29"/>
        <v>1333</v>
      </c>
    </row>
    <row r="271" spans="1:38" ht="14.25" thickBot="1">
      <c r="A271" s="3152">
        <v>269</v>
      </c>
      <c r="B271" s="3153" t="s">
        <v>3437</v>
      </c>
      <c r="C271" s="3153">
        <v>1</v>
      </c>
      <c r="D271" s="3153">
        <v>201</v>
      </c>
      <c r="E271" s="3153">
        <v>210.44</v>
      </c>
      <c r="F271" s="3153">
        <f t="shared" si="26"/>
        <v>731.4</v>
      </c>
      <c r="G271" s="3153">
        <f t="shared" si="28"/>
        <v>34756</v>
      </c>
      <c r="AF271" s="3152">
        <v>269</v>
      </c>
      <c r="AG271" s="3156" t="s">
        <v>3491</v>
      </c>
      <c r="AH271" s="3156" t="s">
        <v>3392</v>
      </c>
      <c r="AI271" s="3153">
        <v>1269</v>
      </c>
      <c r="AJ271" s="3153">
        <v>47.92</v>
      </c>
      <c r="AK271" s="3153">
        <f t="shared" si="27"/>
        <v>6.39</v>
      </c>
      <c r="AL271" s="3153">
        <f t="shared" si="29"/>
        <v>1333</v>
      </c>
    </row>
    <row r="272" spans="1:38" ht="14.25" thickBot="1">
      <c r="A272" s="3152">
        <v>270</v>
      </c>
      <c r="B272" s="3153" t="s">
        <v>3437</v>
      </c>
      <c r="C272" s="3153">
        <v>1</v>
      </c>
      <c r="D272" s="3153">
        <v>202</v>
      </c>
      <c r="E272" s="3153">
        <v>193.68</v>
      </c>
      <c r="F272" s="3153">
        <f t="shared" si="26"/>
        <v>673.2</v>
      </c>
      <c r="G272" s="3153">
        <f t="shared" si="28"/>
        <v>34756</v>
      </c>
      <c r="AF272" s="3152">
        <v>270</v>
      </c>
      <c r="AG272" s="3156" t="s">
        <v>3491</v>
      </c>
      <c r="AH272" s="3156" t="s">
        <v>3392</v>
      </c>
      <c r="AI272" s="3153">
        <v>1270</v>
      </c>
      <c r="AJ272" s="3153">
        <v>47.92</v>
      </c>
      <c r="AK272" s="3153">
        <f t="shared" si="27"/>
        <v>6.39</v>
      </c>
      <c r="AL272" s="3153">
        <f t="shared" si="29"/>
        <v>1333</v>
      </c>
    </row>
    <row r="273" spans="1:38" ht="14.25" thickBot="1">
      <c r="A273" s="3152">
        <v>271</v>
      </c>
      <c r="B273" s="3153" t="s">
        <v>3437</v>
      </c>
      <c r="C273" s="3153">
        <v>2</v>
      </c>
      <c r="D273" s="3153">
        <v>101</v>
      </c>
      <c r="E273" s="3153">
        <v>182.98</v>
      </c>
      <c r="F273" s="3153">
        <f t="shared" si="26"/>
        <v>636</v>
      </c>
      <c r="G273" s="3153">
        <f t="shared" si="28"/>
        <v>34756</v>
      </c>
      <c r="AF273" s="3152">
        <v>271</v>
      </c>
      <c r="AG273" s="3156" t="s">
        <v>3491</v>
      </c>
      <c r="AH273" s="3156" t="s">
        <v>3392</v>
      </c>
      <c r="AI273" s="3153">
        <v>1271</v>
      </c>
      <c r="AJ273" s="3153">
        <v>47.92</v>
      </c>
      <c r="AK273" s="3153">
        <f t="shared" si="27"/>
        <v>6.39</v>
      </c>
      <c r="AL273" s="3153">
        <f t="shared" si="29"/>
        <v>1333</v>
      </c>
    </row>
    <row r="274" spans="1:38" ht="14.25" thickBot="1">
      <c r="A274" s="3152">
        <v>272</v>
      </c>
      <c r="B274" s="3153" t="s">
        <v>3437</v>
      </c>
      <c r="C274" s="3153">
        <v>2</v>
      </c>
      <c r="D274" s="3153">
        <v>201</v>
      </c>
      <c r="E274" s="3153">
        <v>193.68</v>
      </c>
      <c r="F274" s="3153">
        <f t="shared" si="26"/>
        <v>673.2</v>
      </c>
      <c r="G274" s="3153">
        <f t="shared" si="28"/>
        <v>34756</v>
      </c>
      <c r="AF274" s="3152">
        <v>272</v>
      </c>
      <c r="AG274" s="3156" t="s">
        <v>3491</v>
      </c>
      <c r="AH274" s="3156" t="s">
        <v>3392</v>
      </c>
      <c r="AI274" s="3153">
        <v>1272</v>
      </c>
      <c r="AJ274" s="3153">
        <v>47.92</v>
      </c>
      <c r="AK274" s="3153">
        <f t="shared" si="27"/>
        <v>6.39</v>
      </c>
      <c r="AL274" s="3153">
        <f t="shared" si="29"/>
        <v>1333</v>
      </c>
    </row>
    <row r="275" spans="1:38" ht="14.25" thickBot="1">
      <c r="A275" s="3152">
        <v>273</v>
      </c>
      <c r="B275" s="3153" t="s">
        <v>3437</v>
      </c>
      <c r="C275" s="3153">
        <v>2</v>
      </c>
      <c r="D275" s="3153">
        <v>202</v>
      </c>
      <c r="E275" s="3153">
        <v>193.68</v>
      </c>
      <c r="F275" s="3153">
        <f t="shared" si="26"/>
        <v>673.2</v>
      </c>
      <c r="G275" s="3153">
        <f t="shared" si="28"/>
        <v>34756</v>
      </c>
      <c r="AF275" s="3152">
        <v>273</v>
      </c>
      <c r="AG275" s="3156" t="s">
        <v>3491</v>
      </c>
      <c r="AH275" s="3156" t="s">
        <v>3392</v>
      </c>
      <c r="AI275" s="3153">
        <v>1273</v>
      </c>
      <c r="AJ275" s="3153">
        <v>47.92</v>
      </c>
      <c r="AK275" s="3153">
        <f t="shared" si="27"/>
        <v>6.39</v>
      </c>
      <c r="AL275" s="3153">
        <f t="shared" si="29"/>
        <v>1333</v>
      </c>
    </row>
    <row r="276" spans="1:38" ht="14.25" thickBot="1">
      <c r="A276" s="3152">
        <v>274</v>
      </c>
      <c r="B276" s="3153" t="s">
        <v>3437</v>
      </c>
      <c r="C276" s="3153">
        <v>3</v>
      </c>
      <c r="D276" s="3153">
        <v>101</v>
      </c>
      <c r="E276" s="3153">
        <v>182.98</v>
      </c>
      <c r="F276" s="3153">
        <f t="shared" si="26"/>
        <v>636</v>
      </c>
      <c r="G276" s="3153">
        <f t="shared" si="28"/>
        <v>34756</v>
      </c>
      <c r="AF276" s="3152">
        <v>274</v>
      </c>
      <c r="AG276" s="3156" t="s">
        <v>3491</v>
      </c>
      <c r="AH276" s="3156" t="s">
        <v>3392</v>
      </c>
      <c r="AI276" s="3153">
        <v>1274</v>
      </c>
      <c r="AJ276" s="3153">
        <v>47.92</v>
      </c>
      <c r="AK276" s="3153">
        <f t="shared" si="27"/>
        <v>6.39</v>
      </c>
      <c r="AL276" s="3153">
        <f t="shared" si="29"/>
        <v>1333</v>
      </c>
    </row>
    <row r="277" spans="1:38" ht="14.25" thickBot="1">
      <c r="A277" s="3152">
        <v>275</v>
      </c>
      <c r="B277" s="3153" t="s">
        <v>3437</v>
      </c>
      <c r="C277" s="3153">
        <v>3</v>
      </c>
      <c r="D277" s="3153">
        <v>201</v>
      </c>
      <c r="E277" s="3153">
        <v>193.68</v>
      </c>
      <c r="F277" s="3153">
        <f t="shared" si="26"/>
        <v>673.2</v>
      </c>
      <c r="G277" s="3153">
        <f t="shared" si="28"/>
        <v>34756</v>
      </c>
      <c r="AF277" s="3152">
        <v>275</v>
      </c>
      <c r="AG277" s="3156" t="s">
        <v>3491</v>
      </c>
      <c r="AH277" s="3156" t="s">
        <v>3392</v>
      </c>
      <c r="AI277" s="3153">
        <v>1275</v>
      </c>
      <c r="AJ277" s="3153">
        <v>47.92</v>
      </c>
      <c r="AK277" s="3153">
        <f t="shared" si="27"/>
        <v>6.39</v>
      </c>
      <c r="AL277" s="3153">
        <f t="shared" si="29"/>
        <v>1333</v>
      </c>
    </row>
    <row r="278" spans="1:38" ht="14.25" thickBot="1">
      <c r="A278" s="3152">
        <v>276</v>
      </c>
      <c r="B278" s="3153" t="s">
        <v>3437</v>
      </c>
      <c r="C278" s="3153">
        <v>3</v>
      </c>
      <c r="D278" s="3153">
        <v>202</v>
      </c>
      <c r="E278" s="3153">
        <v>193.68</v>
      </c>
      <c r="F278" s="3153">
        <f t="shared" si="26"/>
        <v>673.2</v>
      </c>
      <c r="G278" s="3153">
        <f t="shared" si="28"/>
        <v>34756</v>
      </c>
      <c r="AF278" s="3152">
        <v>276</v>
      </c>
      <c r="AG278" s="3156" t="s">
        <v>3491</v>
      </c>
      <c r="AH278" s="3156" t="s">
        <v>3392</v>
      </c>
      <c r="AI278" s="3153">
        <v>1276</v>
      </c>
      <c r="AJ278" s="3153">
        <v>47.92</v>
      </c>
      <c r="AK278" s="3153">
        <f t="shared" si="27"/>
        <v>6.39</v>
      </c>
      <c r="AL278" s="3153">
        <f t="shared" si="29"/>
        <v>1333</v>
      </c>
    </row>
    <row r="279" spans="1:38" ht="14.25" thickBot="1">
      <c r="A279" s="3152">
        <v>277</v>
      </c>
      <c r="B279" s="3153" t="s">
        <v>3437</v>
      </c>
      <c r="C279" s="3153">
        <v>4</v>
      </c>
      <c r="D279" s="3153">
        <v>101</v>
      </c>
      <c r="E279" s="3153">
        <v>191.15</v>
      </c>
      <c r="F279" s="3153">
        <f t="shared" si="26"/>
        <v>664.4</v>
      </c>
      <c r="G279" s="3153">
        <f t="shared" si="28"/>
        <v>34756</v>
      </c>
      <c r="AF279" s="3152">
        <v>277</v>
      </c>
      <c r="AG279" s="3156" t="s">
        <v>3491</v>
      </c>
      <c r="AH279" s="3156" t="s">
        <v>3392</v>
      </c>
      <c r="AI279" s="3153">
        <v>1277</v>
      </c>
      <c r="AJ279" s="3153">
        <v>47.92</v>
      </c>
      <c r="AK279" s="3153">
        <f t="shared" si="27"/>
        <v>6.39</v>
      </c>
      <c r="AL279" s="3153">
        <f t="shared" si="29"/>
        <v>1333</v>
      </c>
    </row>
    <row r="280" spans="1:38" ht="14.25" thickBot="1">
      <c r="A280" s="3152">
        <v>278</v>
      </c>
      <c r="B280" s="3153" t="s">
        <v>3437</v>
      </c>
      <c r="C280" s="3153">
        <v>4</v>
      </c>
      <c r="D280" s="3153">
        <v>201</v>
      </c>
      <c r="E280" s="3153">
        <v>193.68</v>
      </c>
      <c r="F280" s="3153">
        <f t="shared" si="26"/>
        <v>673.2</v>
      </c>
      <c r="G280" s="3153">
        <f t="shared" si="28"/>
        <v>34756</v>
      </c>
      <c r="AF280" s="3152">
        <v>278</v>
      </c>
      <c r="AG280" s="3156" t="s">
        <v>3491</v>
      </c>
      <c r="AH280" s="3156" t="s">
        <v>3392</v>
      </c>
      <c r="AI280" s="3153">
        <v>1278</v>
      </c>
      <c r="AJ280" s="3153">
        <v>47.92</v>
      </c>
      <c r="AK280" s="3153">
        <f t="shared" si="27"/>
        <v>6.39</v>
      </c>
      <c r="AL280" s="3153">
        <f t="shared" si="29"/>
        <v>1333</v>
      </c>
    </row>
    <row r="281" spans="1:38" ht="14.25" thickBot="1">
      <c r="A281" s="3152">
        <v>279</v>
      </c>
      <c r="B281" s="3153" t="s">
        <v>3437</v>
      </c>
      <c r="C281" s="3153">
        <v>4</v>
      </c>
      <c r="D281" s="3153">
        <v>202</v>
      </c>
      <c r="E281" s="3153">
        <v>210.44</v>
      </c>
      <c r="F281" s="3153">
        <f t="shared" si="26"/>
        <v>731.4</v>
      </c>
      <c r="G281" s="3153">
        <f t="shared" si="28"/>
        <v>34756</v>
      </c>
      <c r="AF281" s="3152">
        <v>279</v>
      </c>
      <c r="AG281" s="3156" t="s">
        <v>3491</v>
      </c>
      <c r="AH281" s="3156" t="s">
        <v>3392</v>
      </c>
      <c r="AI281" s="3153">
        <v>1279</v>
      </c>
      <c r="AJ281" s="3153">
        <v>47.92</v>
      </c>
      <c r="AK281" s="3153">
        <f t="shared" si="27"/>
        <v>6.39</v>
      </c>
      <c r="AL281" s="3153">
        <f t="shared" si="29"/>
        <v>1333</v>
      </c>
    </row>
    <row r="282" spans="1:38" ht="14.25" thickBot="1">
      <c r="A282" s="3152">
        <v>280</v>
      </c>
      <c r="B282" s="3153" t="s">
        <v>3438</v>
      </c>
      <c r="C282" s="3153">
        <v>1</v>
      </c>
      <c r="D282" s="3153">
        <v>101</v>
      </c>
      <c r="E282" s="3153">
        <v>191.62</v>
      </c>
      <c r="F282" s="3153">
        <f t="shared" si="26"/>
        <v>666</v>
      </c>
      <c r="G282" s="3153">
        <f t="shared" si="28"/>
        <v>34756</v>
      </c>
      <c r="AF282" s="3152">
        <v>280</v>
      </c>
      <c r="AG282" s="3156" t="s">
        <v>3491</v>
      </c>
      <c r="AH282" s="3156" t="s">
        <v>3392</v>
      </c>
      <c r="AI282" s="3153">
        <v>1280</v>
      </c>
      <c r="AJ282" s="3153">
        <v>47.92</v>
      </c>
      <c r="AK282" s="3153">
        <f t="shared" si="27"/>
        <v>6.39</v>
      </c>
      <c r="AL282" s="3153">
        <f t="shared" si="29"/>
        <v>1333</v>
      </c>
    </row>
    <row r="283" spans="1:38" ht="14.25" thickBot="1">
      <c r="A283" s="3152">
        <v>281</v>
      </c>
      <c r="B283" s="3153" t="s">
        <v>3438</v>
      </c>
      <c r="C283" s="3153">
        <v>1</v>
      </c>
      <c r="D283" s="3153">
        <v>201</v>
      </c>
      <c r="E283" s="3153">
        <v>210.51</v>
      </c>
      <c r="F283" s="3153">
        <f t="shared" si="26"/>
        <v>731.6</v>
      </c>
      <c r="G283" s="3153">
        <f t="shared" si="28"/>
        <v>34756</v>
      </c>
      <c r="AF283" s="3152">
        <v>281</v>
      </c>
      <c r="AG283" s="3156" t="s">
        <v>3491</v>
      </c>
      <c r="AH283" s="3156" t="s">
        <v>3392</v>
      </c>
      <c r="AI283" s="3153">
        <v>1281</v>
      </c>
      <c r="AJ283" s="3153">
        <v>47.92</v>
      </c>
      <c r="AK283" s="3153">
        <f t="shared" si="27"/>
        <v>6.39</v>
      </c>
      <c r="AL283" s="3153">
        <f t="shared" si="29"/>
        <v>1333</v>
      </c>
    </row>
    <row r="284" spans="1:38" ht="14.25" thickBot="1">
      <c r="A284" s="3152">
        <v>282</v>
      </c>
      <c r="B284" s="3153" t="s">
        <v>3438</v>
      </c>
      <c r="C284" s="3153">
        <v>1</v>
      </c>
      <c r="D284" s="3153">
        <v>202</v>
      </c>
      <c r="E284" s="3153">
        <v>194.17</v>
      </c>
      <c r="F284" s="3153">
        <f t="shared" si="26"/>
        <v>674.9</v>
      </c>
      <c r="G284" s="3153">
        <f t="shared" si="28"/>
        <v>34756</v>
      </c>
      <c r="AF284" s="3152">
        <v>282</v>
      </c>
      <c r="AG284" s="3156" t="s">
        <v>3491</v>
      </c>
      <c r="AH284" s="3156" t="s">
        <v>3392</v>
      </c>
      <c r="AI284" s="3153">
        <v>1282</v>
      </c>
      <c r="AJ284" s="3153">
        <v>47.92</v>
      </c>
      <c r="AK284" s="3153">
        <f t="shared" si="27"/>
        <v>6.39</v>
      </c>
      <c r="AL284" s="3153">
        <f t="shared" si="29"/>
        <v>1333</v>
      </c>
    </row>
    <row r="285" spans="1:38" ht="14.25" thickBot="1">
      <c r="A285" s="3152">
        <v>283</v>
      </c>
      <c r="B285" s="3153" t="s">
        <v>3438</v>
      </c>
      <c r="C285" s="3153">
        <v>2</v>
      </c>
      <c r="D285" s="3153">
        <v>101</v>
      </c>
      <c r="E285" s="3153">
        <v>183.76</v>
      </c>
      <c r="F285" s="3153">
        <f t="shared" si="26"/>
        <v>638.70000000000005</v>
      </c>
      <c r="G285" s="3153">
        <f t="shared" si="28"/>
        <v>34756</v>
      </c>
      <c r="AF285" s="3152">
        <v>283</v>
      </c>
      <c r="AG285" s="3156" t="s">
        <v>3491</v>
      </c>
      <c r="AH285" s="3156" t="s">
        <v>3392</v>
      </c>
      <c r="AI285" s="3153">
        <v>1283</v>
      </c>
      <c r="AJ285" s="3153">
        <v>47.92</v>
      </c>
      <c r="AK285" s="3153">
        <f t="shared" si="27"/>
        <v>6.39</v>
      </c>
      <c r="AL285" s="3153">
        <f t="shared" si="29"/>
        <v>1333</v>
      </c>
    </row>
    <row r="286" spans="1:38" ht="14.25" thickBot="1">
      <c r="A286" s="3152">
        <v>284</v>
      </c>
      <c r="B286" s="3153" t="s">
        <v>3438</v>
      </c>
      <c r="C286" s="3153">
        <v>2</v>
      </c>
      <c r="D286" s="3153">
        <v>201</v>
      </c>
      <c r="E286" s="3153">
        <v>194.17</v>
      </c>
      <c r="F286" s="3153">
        <f t="shared" si="26"/>
        <v>674.9</v>
      </c>
      <c r="G286" s="3153">
        <f t="shared" si="28"/>
        <v>34756</v>
      </c>
      <c r="AF286" s="3152">
        <v>284</v>
      </c>
      <c r="AG286" s="3156" t="s">
        <v>3491</v>
      </c>
      <c r="AH286" s="3156" t="s">
        <v>3392</v>
      </c>
      <c r="AI286" s="3153">
        <v>1284</v>
      </c>
      <c r="AJ286" s="3153">
        <v>47.92</v>
      </c>
      <c r="AK286" s="3153">
        <f t="shared" si="27"/>
        <v>6.39</v>
      </c>
      <c r="AL286" s="3153">
        <f t="shared" si="29"/>
        <v>1333</v>
      </c>
    </row>
    <row r="287" spans="1:38" ht="14.25" thickBot="1">
      <c r="A287" s="3152">
        <v>285</v>
      </c>
      <c r="B287" s="3153" t="s">
        <v>3438</v>
      </c>
      <c r="C287" s="3153">
        <v>2</v>
      </c>
      <c r="D287" s="3153">
        <v>202</v>
      </c>
      <c r="E287" s="3153">
        <v>194.17</v>
      </c>
      <c r="F287" s="3153">
        <f t="shared" si="26"/>
        <v>674.9</v>
      </c>
      <c r="G287" s="3153">
        <f t="shared" si="28"/>
        <v>34756</v>
      </c>
      <c r="AF287" s="3152">
        <v>285</v>
      </c>
      <c r="AG287" s="3156" t="s">
        <v>3491</v>
      </c>
      <c r="AH287" s="3156" t="s">
        <v>3392</v>
      </c>
      <c r="AI287" s="3153">
        <v>1285</v>
      </c>
      <c r="AJ287" s="3153">
        <v>47.92</v>
      </c>
      <c r="AK287" s="3153">
        <f t="shared" si="27"/>
        <v>6.39</v>
      </c>
      <c r="AL287" s="3153">
        <f t="shared" si="29"/>
        <v>1333</v>
      </c>
    </row>
    <row r="288" spans="1:38" ht="14.25" thickBot="1">
      <c r="A288" s="3152">
        <v>286</v>
      </c>
      <c r="B288" s="3153" t="s">
        <v>3438</v>
      </c>
      <c r="C288" s="3153">
        <v>3</v>
      </c>
      <c r="D288" s="3153">
        <v>101</v>
      </c>
      <c r="E288" s="3153">
        <v>191.62</v>
      </c>
      <c r="F288" s="3153">
        <f t="shared" si="26"/>
        <v>666</v>
      </c>
      <c r="G288" s="3153">
        <f t="shared" si="28"/>
        <v>34756</v>
      </c>
      <c r="AF288" s="3152">
        <v>286</v>
      </c>
      <c r="AG288" s="3156" t="s">
        <v>3491</v>
      </c>
      <c r="AH288" s="3156" t="s">
        <v>3392</v>
      </c>
      <c r="AI288" s="3153">
        <v>1286</v>
      </c>
      <c r="AJ288" s="3153">
        <v>47.92</v>
      </c>
      <c r="AK288" s="3153">
        <f t="shared" si="27"/>
        <v>6.39</v>
      </c>
      <c r="AL288" s="3153">
        <f t="shared" si="29"/>
        <v>1333</v>
      </c>
    </row>
    <row r="289" spans="1:38" ht="14.25" thickBot="1">
      <c r="A289" s="3152">
        <v>287</v>
      </c>
      <c r="B289" s="3153" t="s">
        <v>3438</v>
      </c>
      <c r="C289" s="3153">
        <v>3</v>
      </c>
      <c r="D289" s="3153">
        <v>201</v>
      </c>
      <c r="E289" s="3153">
        <v>194.17</v>
      </c>
      <c r="F289" s="3153">
        <f t="shared" si="26"/>
        <v>674.9</v>
      </c>
      <c r="G289" s="3153">
        <f t="shared" si="28"/>
        <v>34756</v>
      </c>
      <c r="AF289" s="3152">
        <v>287</v>
      </c>
      <c r="AG289" s="3156" t="s">
        <v>3491</v>
      </c>
      <c r="AH289" s="3156" t="s">
        <v>3392</v>
      </c>
      <c r="AI289" s="3153">
        <v>1287</v>
      </c>
      <c r="AJ289" s="3153">
        <v>47.92</v>
      </c>
      <c r="AK289" s="3153">
        <f t="shared" si="27"/>
        <v>6.39</v>
      </c>
      <c r="AL289" s="3153">
        <f t="shared" si="29"/>
        <v>1333</v>
      </c>
    </row>
    <row r="290" spans="1:38" ht="14.25" thickBot="1">
      <c r="A290" s="3152">
        <v>288</v>
      </c>
      <c r="B290" s="3153" t="s">
        <v>3438</v>
      </c>
      <c r="C290" s="3153">
        <v>3</v>
      </c>
      <c r="D290" s="3153">
        <v>202</v>
      </c>
      <c r="E290" s="3153">
        <v>210.51</v>
      </c>
      <c r="F290" s="3153">
        <f t="shared" si="26"/>
        <v>731.6</v>
      </c>
      <c r="G290" s="3153">
        <f t="shared" si="28"/>
        <v>34756</v>
      </c>
      <c r="AF290" s="3152">
        <v>288</v>
      </c>
      <c r="AG290" s="3156" t="s">
        <v>3491</v>
      </c>
      <c r="AH290" s="3156" t="s">
        <v>3392</v>
      </c>
      <c r="AI290" s="3153">
        <v>1288</v>
      </c>
      <c r="AJ290" s="3153">
        <v>47.92</v>
      </c>
      <c r="AK290" s="3153">
        <f t="shared" si="27"/>
        <v>6.39</v>
      </c>
      <c r="AL290" s="3153">
        <f t="shared" si="29"/>
        <v>1333</v>
      </c>
    </row>
    <row r="291" spans="1:38" ht="14.25" thickBot="1">
      <c r="A291" s="3152">
        <v>289</v>
      </c>
      <c r="B291" s="3153" t="s">
        <v>3439</v>
      </c>
      <c r="C291" s="3153">
        <v>1</v>
      </c>
      <c r="D291" s="3153">
        <v>101</v>
      </c>
      <c r="E291" s="3153">
        <v>191.65</v>
      </c>
      <c r="F291" s="3153">
        <f t="shared" si="26"/>
        <v>666.1</v>
      </c>
      <c r="G291" s="3153">
        <f t="shared" si="28"/>
        <v>34756</v>
      </c>
      <c r="AF291" s="3152">
        <v>289</v>
      </c>
      <c r="AG291" s="3156" t="s">
        <v>3491</v>
      </c>
      <c r="AH291" s="3156" t="s">
        <v>3392</v>
      </c>
      <c r="AI291" s="3153">
        <v>1289</v>
      </c>
      <c r="AJ291" s="3153">
        <v>47.92</v>
      </c>
      <c r="AK291" s="3153">
        <f t="shared" si="27"/>
        <v>6.39</v>
      </c>
      <c r="AL291" s="3153">
        <f t="shared" si="29"/>
        <v>1333</v>
      </c>
    </row>
    <row r="292" spans="1:38" ht="14.25" thickBot="1">
      <c r="A292" s="3152">
        <v>290</v>
      </c>
      <c r="B292" s="3153" t="s">
        <v>3439</v>
      </c>
      <c r="C292" s="3153">
        <v>1</v>
      </c>
      <c r="D292" s="3153">
        <v>201</v>
      </c>
      <c r="E292" s="3153">
        <v>210.45</v>
      </c>
      <c r="F292" s="3153">
        <f t="shared" si="26"/>
        <v>731.4</v>
      </c>
      <c r="G292" s="3153">
        <f t="shared" si="28"/>
        <v>34756</v>
      </c>
      <c r="AF292" s="3152">
        <v>290</v>
      </c>
      <c r="AG292" s="3156" t="s">
        <v>3491</v>
      </c>
      <c r="AH292" s="3156" t="s">
        <v>3392</v>
      </c>
      <c r="AI292" s="3153">
        <v>1290</v>
      </c>
      <c r="AJ292" s="3153">
        <v>47.92</v>
      </c>
      <c r="AK292" s="3153">
        <f t="shared" si="27"/>
        <v>6.39</v>
      </c>
      <c r="AL292" s="3153">
        <f t="shared" si="29"/>
        <v>1333</v>
      </c>
    </row>
    <row r="293" spans="1:38" ht="14.25" thickBot="1">
      <c r="A293" s="3152">
        <v>291</v>
      </c>
      <c r="B293" s="3153" t="s">
        <v>3439</v>
      </c>
      <c r="C293" s="3153">
        <v>1</v>
      </c>
      <c r="D293" s="3153">
        <v>202</v>
      </c>
      <c r="E293" s="3153">
        <v>194.3</v>
      </c>
      <c r="F293" s="3153">
        <f t="shared" si="26"/>
        <v>675.3</v>
      </c>
      <c r="G293" s="3153">
        <f t="shared" si="28"/>
        <v>34756</v>
      </c>
      <c r="AF293" s="3152">
        <v>291</v>
      </c>
      <c r="AG293" s="3156" t="s">
        <v>3491</v>
      </c>
      <c r="AH293" s="3156" t="s">
        <v>3392</v>
      </c>
      <c r="AI293" s="3153">
        <v>1291</v>
      </c>
      <c r="AJ293" s="3153">
        <v>47.92</v>
      </c>
      <c r="AK293" s="3153">
        <f t="shared" si="27"/>
        <v>6.39</v>
      </c>
      <c r="AL293" s="3153">
        <f t="shared" si="29"/>
        <v>1333</v>
      </c>
    </row>
    <row r="294" spans="1:38" ht="14.25" thickBot="1">
      <c r="A294" s="3152">
        <v>292</v>
      </c>
      <c r="B294" s="3153" t="s">
        <v>3439</v>
      </c>
      <c r="C294" s="3153">
        <v>2</v>
      </c>
      <c r="D294" s="3153">
        <v>101</v>
      </c>
      <c r="E294" s="3153">
        <v>183.89</v>
      </c>
      <c r="F294" s="3153">
        <f t="shared" si="26"/>
        <v>639.1</v>
      </c>
      <c r="G294" s="3153">
        <f t="shared" si="28"/>
        <v>34756</v>
      </c>
      <c r="AF294" s="3152">
        <v>292</v>
      </c>
      <c r="AG294" s="3156" t="s">
        <v>3491</v>
      </c>
      <c r="AH294" s="3156" t="s">
        <v>3392</v>
      </c>
      <c r="AI294" s="3153">
        <v>1292</v>
      </c>
      <c r="AJ294" s="3153">
        <v>47.92</v>
      </c>
      <c r="AK294" s="3153">
        <f t="shared" si="27"/>
        <v>6.39</v>
      </c>
      <c r="AL294" s="3153">
        <f t="shared" si="29"/>
        <v>1333</v>
      </c>
    </row>
    <row r="295" spans="1:38" ht="14.25" thickBot="1">
      <c r="A295" s="3152">
        <v>293</v>
      </c>
      <c r="B295" s="3153" t="s">
        <v>3439</v>
      </c>
      <c r="C295" s="3153">
        <v>2</v>
      </c>
      <c r="D295" s="3153">
        <v>201</v>
      </c>
      <c r="E295" s="3153">
        <v>194.3</v>
      </c>
      <c r="F295" s="3153">
        <f t="shared" si="26"/>
        <v>675.3</v>
      </c>
      <c r="G295" s="3153">
        <f t="shared" si="28"/>
        <v>34756</v>
      </c>
      <c r="AF295" s="3152">
        <v>293</v>
      </c>
      <c r="AG295" s="3156" t="s">
        <v>3491</v>
      </c>
      <c r="AH295" s="3156" t="s">
        <v>3392</v>
      </c>
      <c r="AI295" s="3153">
        <v>1293</v>
      </c>
      <c r="AJ295" s="3153">
        <v>47.92</v>
      </c>
      <c r="AK295" s="3153">
        <f t="shared" si="27"/>
        <v>6.39</v>
      </c>
      <c r="AL295" s="3153">
        <f t="shared" si="29"/>
        <v>1333</v>
      </c>
    </row>
    <row r="296" spans="1:38" ht="14.25" thickBot="1">
      <c r="A296" s="3152">
        <v>294</v>
      </c>
      <c r="B296" s="3153" t="s">
        <v>3439</v>
      </c>
      <c r="C296" s="3153">
        <v>2</v>
      </c>
      <c r="D296" s="3153">
        <v>202</v>
      </c>
      <c r="E296" s="3153">
        <v>194.3</v>
      </c>
      <c r="F296" s="3153">
        <f t="shared" si="26"/>
        <v>675.3</v>
      </c>
      <c r="G296" s="3153">
        <f t="shared" si="28"/>
        <v>34756</v>
      </c>
      <c r="AF296" s="3152">
        <v>294</v>
      </c>
      <c r="AG296" s="3156" t="s">
        <v>3491</v>
      </c>
      <c r="AH296" s="3156" t="s">
        <v>3392</v>
      </c>
      <c r="AI296" s="3153">
        <v>1294</v>
      </c>
      <c r="AJ296" s="3153">
        <v>47.92</v>
      </c>
      <c r="AK296" s="3153">
        <f t="shared" si="27"/>
        <v>6.39</v>
      </c>
      <c r="AL296" s="3153">
        <f t="shared" si="29"/>
        <v>1333</v>
      </c>
    </row>
    <row r="297" spans="1:38" ht="14.25" thickBot="1">
      <c r="A297" s="3152">
        <v>295</v>
      </c>
      <c r="B297" s="3153" t="s">
        <v>3439</v>
      </c>
      <c r="C297" s="3153">
        <v>3</v>
      </c>
      <c r="D297" s="3153">
        <v>101</v>
      </c>
      <c r="E297" s="3153">
        <v>191.65</v>
      </c>
      <c r="F297" s="3153">
        <f t="shared" si="26"/>
        <v>666.1</v>
      </c>
      <c r="G297" s="3153">
        <f t="shared" si="28"/>
        <v>34756</v>
      </c>
      <c r="AF297" s="3152">
        <v>295</v>
      </c>
      <c r="AG297" s="3156" t="s">
        <v>3491</v>
      </c>
      <c r="AH297" s="3156" t="s">
        <v>3392</v>
      </c>
      <c r="AI297" s="3153">
        <v>1295</v>
      </c>
      <c r="AJ297" s="3153">
        <v>47.92</v>
      </c>
      <c r="AK297" s="3153">
        <f t="shared" si="27"/>
        <v>6.39</v>
      </c>
      <c r="AL297" s="3153">
        <f t="shared" si="29"/>
        <v>1333</v>
      </c>
    </row>
    <row r="298" spans="1:38" ht="14.25" thickBot="1">
      <c r="A298" s="3152">
        <v>296</v>
      </c>
      <c r="B298" s="3153" t="s">
        <v>3439</v>
      </c>
      <c r="C298" s="3153">
        <v>3</v>
      </c>
      <c r="D298" s="3153">
        <v>201</v>
      </c>
      <c r="E298" s="3153">
        <v>194.3</v>
      </c>
      <c r="F298" s="3153">
        <f t="shared" si="26"/>
        <v>675.3</v>
      </c>
      <c r="G298" s="3153">
        <f t="shared" si="28"/>
        <v>34756</v>
      </c>
      <c r="AF298" s="3152">
        <v>296</v>
      </c>
      <c r="AG298" s="3156" t="s">
        <v>3491</v>
      </c>
      <c r="AH298" s="3156" t="s">
        <v>3392</v>
      </c>
      <c r="AI298" s="3153">
        <v>1296</v>
      </c>
      <c r="AJ298" s="3153">
        <v>47.92</v>
      </c>
      <c r="AK298" s="3153">
        <f t="shared" si="27"/>
        <v>6.39</v>
      </c>
      <c r="AL298" s="3153">
        <f t="shared" si="29"/>
        <v>1333</v>
      </c>
    </row>
    <row r="299" spans="1:38" ht="14.25" thickBot="1">
      <c r="A299" s="3152">
        <v>297</v>
      </c>
      <c r="B299" s="3153" t="s">
        <v>3439</v>
      </c>
      <c r="C299" s="3153">
        <v>3</v>
      </c>
      <c r="D299" s="3153">
        <v>202</v>
      </c>
      <c r="E299" s="3153">
        <v>210.45</v>
      </c>
      <c r="F299" s="3153">
        <f t="shared" si="26"/>
        <v>731.4</v>
      </c>
      <c r="G299" s="3153">
        <f t="shared" si="28"/>
        <v>34756</v>
      </c>
      <c r="AF299" s="3152">
        <v>297</v>
      </c>
      <c r="AG299" s="3156" t="s">
        <v>3491</v>
      </c>
      <c r="AH299" s="3156" t="s">
        <v>3392</v>
      </c>
      <c r="AI299" s="3153">
        <v>1297</v>
      </c>
      <c r="AJ299" s="3153">
        <v>47.92</v>
      </c>
      <c r="AK299" s="3153">
        <f t="shared" si="27"/>
        <v>6.39</v>
      </c>
      <c r="AL299" s="3153">
        <f t="shared" si="29"/>
        <v>1333</v>
      </c>
    </row>
    <row r="300" spans="1:38" ht="14.25" thickBot="1">
      <c r="A300" s="3152">
        <v>298</v>
      </c>
      <c r="B300" s="3153" t="s">
        <v>3440</v>
      </c>
      <c r="C300" s="3153">
        <v>1</v>
      </c>
      <c r="D300" s="3153">
        <v>101</v>
      </c>
      <c r="E300" s="3153">
        <v>192.29</v>
      </c>
      <c r="F300" s="3153">
        <f t="shared" si="26"/>
        <v>668.3</v>
      </c>
      <c r="G300" s="3153">
        <f t="shared" si="28"/>
        <v>34756</v>
      </c>
      <c r="AF300" s="3152">
        <v>298</v>
      </c>
      <c r="AG300" s="3156" t="s">
        <v>3491</v>
      </c>
      <c r="AH300" s="3156" t="s">
        <v>3392</v>
      </c>
      <c r="AI300" s="3153">
        <v>1298</v>
      </c>
      <c r="AJ300" s="3153">
        <v>47.92</v>
      </c>
      <c r="AK300" s="3153">
        <f t="shared" si="27"/>
        <v>6.39</v>
      </c>
      <c r="AL300" s="3153">
        <f t="shared" si="29"/>
        <v>1333</v>
      </c>
    </row>
    <row r="301" spans="1:38" ht="14.25" thickBot="1">
      <c r="A301" s="3152">
        <v>299</v>
      </c>
      <c r="B301" s="3153" t="s">
        <v>3440</v>
      </c>
      <c r="C301" s="3153">
        <v>1</v>
      </c>
      <c r="D301" s="3153">
        <v>201</v>
      </c>
      <c r="E301" s="3153">
        <v>211.03</v>
      </c>
      <c r="F301" s="3153">
        <f t="shared" si="26"/>
        <v>733.5</v>
      </c>
      <c r="G301" s="3153">
        <f t="shared" si="28"/>
        <v>34756</v>
      </c>
      <c r="AF301" s="3152">
        <v>299</v>
      </c>
      <c r="AG301" s="3156" t="s">
        <v>3491</v>
      </c>
      <c r="AH301" s="3156" t="s">
        <v>3392</v>
      </c>
      <c r="AI301" s="3153">
        <v>1299</v>
      </c>
      <c r="AJ301" s="3153">
        <v>47.92</v>
      </c>
      <c r="AK301" s="3153">
        <f t="shared" si="27"/>
        <v>6.39</v>
      </c>
      <c r="AL301" s="3153">
        <f t="shared" si="29"/>
        <v>1333</v>
      </c>
    </row>
    <row r="302" spans="1:38" ht="14.25" thickBot="1">
      <c r="A302" s="3152">
        <v>300</v>
      </c>
      <c r="B302" s="3153" t="s">
        <v>3440</v>
      </c>
      <c r="C302" s="3153">
        <v>1</v>
      </c>
      <c r="D302" s="3153">
        <v>202</v>
      </c>
      <c r="E302" s="3153">
        <v>194.84</v>
      </c>
      <c r="F302" s="3153">
        <f t="shared" si="26"/>
        <v>677.2</v>
      </c>
      <c r="G302" s="3153">
        <f t="shared" si="28"/>
        <v>34756</v>
      </c>
      <c r="AF302" s="3152">
        <v>300</v>
      </c>
      <c r="AG302" s="3156" t="s">
        <v>3491</v>
      </c>
      <c r="AH302" s="3156" t="s">
        <v>3392</v>
      </c>
      <c r="AI302" s="3153">
        <v>1300</v>
      </c>
      <c r="AJ302" s="3153">
        <v>47.92</v>
      </c>
      <c r="AK302" s="3153">
        <f t="shared" si="27"/>
        <v>6.39</v>
      </c>
      <c r="AL302" s="3153">
        <f t="shared" si="29"/>
        <v>1333</v>
      </c>
    </row>
    <row r="303" spans="1:38" ht="14.25" thickBot="1">
      <c r="A303" s="3152">
        <v>301</v>
      </c>
      <c r="B303" s="3153" t="s">
        <v>3440</v>
      </c>
      <c r="C303" s="3153">
        <v>2</v>
      </c>
      <c r="D303" s="3153">
        <v>101</v>
      </c>
      <c r="E303" s="3153">
        <v>192.29</v>
      </c>
      <c r="F303" s="3153">
        <f t="shared" si="26"/>
        <v>668.3</v>
      </c>
      <c r="G303" s="3153">
        <f t="shared" si="28"/>
        <v>34756</v>
      </c>
      <c r="AF303" s="3152">
        <v>301</v>
      </c>
      <c r="AG303" s="3156" t="s">
        <v>3491</v>
      </c>
      <c r="AH303" s="3156" t="s">
        <v>3392</v>
      </c>
      <c r="AI303" s="3153">
        <v>1301</v>
      </c>
      <c r="AJ303" s="3153">
        <v>47.92</v>
      </c>
      <c r="AK303" s="3153">
        <f t="shared" si="27"/>
        <v>6.39</v>
      </c>
      <c r="AL303" s="3153">
        <f t="shared" si="29"/>
        <v>1333</v>
      </c>
    </row>
    <row r="304" spans="1:38" ht="14.25" thickBot="1">
      <c r="A304" s="3152">
        <v>302</v>
      </c>
      <c r="B304" s="3153" t="s">
        <v>3440</v>
      </c>
      <c r="C304" s="3153">
        <v>2</v>
      </c>
      <c r="D304" s="3153">
        <v>201</v>
      </c>
      <c r="E304" s="3153">
        <v>194.84</v>
      </c>
      <c r="F304" s="3153">
        <f t="shared" si="26"/>
        <v>677.2</v>
      </c>
      <c r="G304" s="3153">
        <f t="shared" si="28"/>
        <v>34756</v>
      </c>
      <c r="AF304" s="3152">
        <v>302</v>
      </c>
      <c r="AG304" s="3156" t="s">
        <v>3491</v>
      </c>
      <c r="AH304" s="3156" t="s">
        <v>3392</v>
      </c>
      <c r="AI304" s="3153">
        <v>1302</v>
      </c>
      <c r="AJ304" s="3153">
        <v>47.92</v>
      </c>
      <c r="AK304" s="3153">
        <f t="shared" si="27"/>
        <v>6.39</v>
      </c>
      <c r="AL304" s="3153">
        <f t="shared" si="29"/>
        <v>1333</v>
      </c>
    </row>
    <row r="305" spans="1:38" ht="14.25" thickBot="1">
      <c r="A305" s="3152">
        <v>303</v>
      </c>
      <c r="B305" s="3153" t="s">
        <v>3440</v>
      </c>
      <c r="C305" s="3153">
        <v>2</v>
      </c>
      <c r="D305" s="3153">
        <v>202</v>
      </c>
      <c r="E305" s="3153">
        <v>211.03</v>
      </c>
      <c r="F305" s="3153">
        <f t="shared" si="26"/>
        <v>733.5</v>
      </c>
      <c r="G305" s="3153">
        <f t="shared" si="28"/>
        <v>34756</v>
      </c>
      <c r="AF305" s="3152">
        <v>303</v>
      </c>
      <c r="AG305" s="3156" t="s">
        <v>3491</v>
      </c>
      <c r="AH305" s="3156" t="s">
        <v>3392</v>
      </c>
      <c r="AI305" s="3153">
        <v>1303</v>
      </c>
      <c r="AJ305" s="3153">
        <v>47.92</v>
      </c>
      <c r="AK305" s="3153">
        <f t="shared" si="27"/>
        <v>6.39</v>
      </c>
      <c r="AL305" s="3153">
        <f t="shared" si="29"/>
        <v>1333</v>
      </c>
    </row>
    <row r="306" spans="1:38" ht="14.25" thickBot="1">
      <c r="A306" s="3152">
        <v>304</v>
      </c>
      <c r="B306" s="3153" t="s">
        <v>3441</v>
      </c>
      <c r="C306" s="3153">
        <v>1</v>
      </c>
      <c r="D306" s="3153">
        <v>101</v>
      </c>
      <c r="E306" s="3153">
        <v>192.29</v>
      </c>
      <c r="F306" s="3153">
        <f t="shared" si="26"/>
        <v>668.3</v>
      </c>
      <c r="G306" s="3153">
        <f t="shared" si="28"/>
        <v>34756</v>
      </c>
      <c r="AF306" s="3152">
        <v>304</v>
      </c>
      <c r="AG306" s="3156" t="s">
        <v>3491</v>
      </c>
      <c r="AH306" s="3156" t="s">
        <v>3392</v>
      </c>
      <c r="AI306" s="3153">
        <v>1304</v>
      </c>
      <c r="AJ306" s="3153">
        <v>47.92</v>
      </c>
      <c r="AK306" s="3153">
        <f t="shared" si="27"/>
        <v>6.39</v>
      </c>
      <c r="AL306" s="3153">
        <f t="shared" si="29"/>
        <v>1333</v>
      </c>
    </row>
    <row r="307" spans="1:38" ht="14.25" thickBot="1">
      <c r="A307" s="3152">
        <v>305</v>
      </c>
      <c r="B307" s="3153" t="s">
        <v>3441</v>
      </c>
      <c r="C307" s="3153">
        <v>1</v>
      </c>
      <c r="D307" s="3153">
        <v>201</v>
      </c>
      <c r="E307" s="3153">
        <v>211.03</v>
      </c>
      <c r="F307" s="3153">
        <f t="shared" si="26"/>
        <v>733.5</v>
      </c>
      <c r="G307" s="3153">
        <f t="shared" si="28"/>
        <v>34756</v>
      </c>
      <c r="AF307" s="3152">
        <v>305</v>
      </c>
      <c r="AG307" s="3156" t="s">
        <v>3491</v>
      </c>
      <c r="AH307" s="3156" t="s">
        <v>3392</v>
      </c>
      <c r="AI307" s="3153">
        <v>1305</v>
      </c>
      <c r="AJ307" s="3153">
        <v>47.92</v>
      </c>
      <c r="AK307" s="3153">
        <f t="shared" si="27"/>
        <v>6.39</v>
      </c>
      <c r="AL307" s="3153">
        <f t="shared" si="29"/>
        <v>1333</v>
      </c>
    </row>
    <row r="308" spans="1:38" ht="14.25" thickBot="1">
      <c r="A308" s="3152">
        <v>306</v>
      </c>
      <c r="B308" s="3153" t="s">
        <v>3441</v>
      </c>
      <c r="C308" s="3153">
        <v>1</v>
      </c>
      <c r="D308" s="3153">
        <v>202</v>
      </c>
      <c r="E308" s="3153">
        <v>194.84</v>
      </c>
      <c r="F308" s="3153">
        <f t="shared" si="26"/>
        <v>677.2</v>
      </c>
      <c r="G308" s="3153">
        <f t="shared" si="28"/>
        <v>34756</v>
      </c>
      <c r="AF308" s="3152">
        <v>306</v>
      </c>
      <c r="AG308" s="3156" t="s">
        <v>3491</v>
      </c>
      <c r="AH308" s="3156" t="s">
        <v>3392</v>
      </c>
      <c r="AI308" s="3153">
        <v>1306</v>
      </c>
      <c r="AJ308" s="3153">
        <v>47.92</v>
      </c>
      <c r="AK308" s="3153">
        <f t="shared" si="27"/>
        <v>6.39</v>
      </c>
      <c r="AL308" s="3153">
        <f t="shared" si="29"/>
        <v>1333</v>
      </c>
    </row>
    <row r="309" spans="1:38" ht="14.25" thickBot="1">
      <c r="A309" s="3152">
        <v>307</v>
      </c>
      <c r="B309" s="3153" t="s">
        <v>3441</v>
      </c>
      <c r="C309" s="3153">
        <v>2</v>
      </c>
      <c r="D309" s="3153">
        <v>101</v>
      </c>
      <c r="E309" s="3153">
        <v>192.29</v>
      </c>
      <c r="F309" s="3153">
        <f t="shared" si="26"/>
        <v>668.3</v>
      </c>
      <c r="G309" s="3153">
        <f t="shared" si="28"/>
        <v>34756</v>
      </c>
      <c r="AF309" s="3152">
        <v>307</v>
      </c>
      <c r="AG309" s="3156" t="s">
        <v>3491</v>
      </c>
      <c r="AH309" s="3156" t="s">
        <v>3392</v>
      </c>
      <c r="AI309" s="3153">
        <v>1307</v>
      </c>
      <c r="AJ309" s="3153">
        <v>47.92</v>
      </c>
      <c r="AK309" s="3153">
        <f t="shared" si="27"/>
        <v>6.39</v>
      </c>
      <c r="AL309" s="3153">
        <f t="shared" si="29"/>
        <v>1333</v>
      </c>
    </row>
    <row r="310" spans="1:38" ht="14.25" thickBot="1">
      <c r="A310" s="3152">
        <v>308</v>
      </c>
      <c r="B310" s="3153" t="s">
        <v>3441</v>
      </c>
      <c r="C310" s="3153">
        <v>2</v>
      </c>
      <c r="D310" s="3153">
        <v>201</v>
      </c>
      <c r="E310" s="3153">
        <v>194.84</v>
      </c>
      <c r="F310" s="3153">
        <f t="shared" si="26"/>
        <v>677.2</v>
      </c>
      <c r="G310" s="3153">
        <f t="shared" si="28"/>
        <v>34756</v>
      </c>
      <c r="AF310" s="3152">
        <v>308</v>
      </c>
      <c r="AG310" s="3156" t="s">
        <v>3491</v>
      </c>
      <c r="AH310" s="3156" t="s">
        <v>3392</v>
      </c>
      <c r="AI310" s="3153">
        <v>1308</v>
      </c>
      <c r="AJ310" s="3153">
        <v>47.92</v>
      </c>
      <c r="AK310" s="3153">
        <f t="shared" si="27"/>
        <v>6.39</v>
      </c>
      <c r="AL310" s="3153">
        <f t="shared" si="29"/>
        <v>1333</v>
      </c>
    </row>
    <row r="311" spans="1:38" ht="14.25" thickBot="1">
      <c r="A311" s="3152">
        <v>309</v>
      </c>
      <c r="B311" s="3153" t="s">
        <v>3441</v>
      </c>
      <c r="C311" s="3153">
        <v>2</v>
      </c>
      <c r="D311" s="3153">
        <v>202</v>
      </c>
      <c r="E311" s="3153">
        <v>211.03</v>
      </c>
      <c r="F311" s="3153">
        <f t="shared" si="26"/>
        <v>733.5</v>
      </c>
      <c r="G311" s="3153">
        <f t="shared" si="28"/>
        <v>34756</v>
      </c>
      <c r="AF311" s="3152">
        <v>309</v>
      </c>
      <c r="AG311" s="3156" t="s">
        <v>3491</v>
      </c>
      <c r="AH311" s="3156" t="s">
        <v>3392</v>
      </c>
      <c r="AI311" s="3153">
        <v>1309</v>
      </c>
      <c r="AJ311" s="3153">
        <v>47.92</v>
      </c>
      <c r="AK311" s="3153">
        <f t="shared" si="27"/>
        <v>6.39</v>
      </c>
      <c r="AL311" s="3153">
        <f t="shared" si="29"/>
        <v>1333</v>
      </c>
    </row>
    <row r="312" spans="1:38" ht="14.25" thickBot="1">
      <c r="A312" s="3152">
        <v>310</v>
      </c>
      <c r="B312" s="3153" t="s">
        <v>3442</v>
      </c>
      <c r="C312" s="3153">
        <v>1</v>
      </c>
      <c r="D312" s="3153">
        <v>101</v>
      </c>
      <c r="E312" s="3153">
        <v>191.15</v>
      </c>
      <c r="F312" s="3153">
        <f t="shared" si="26"/>
        <v>664.4</v>
      </c>
      <c r="G312" s="3153">
        <f t="shared" si="28"/>
        <v>34756</v>
      </c>
      <c r="AF312" s="3152">
        <v>310</v>
      </c>
      <c r="AG312" s="3156" t="s">
        <v>3491</v>
      </c>
      <c r="AH312" s="3156" t="s">
        <v>3392</v>
      </c>
      <c r="AI312" s="3153">
        <v>1310</v>
      </c>
      <c r="AJ312" s="3153">
        <v>47.92</v>
      </c>
      <c r="AK312" s="3153">
        <f t="shared" si="27"/>
        <v>6.39</v>
      </c>
      <c r="AL312" s="3153">
        <f t="shared" si="29"/>
        <v>1333</v>
      </c>
    </row>
    <row r="313" spans="1:38" ht="14.25" thickBot="1">
      <c r="A313" s="3152">
        <v>311</v>
      </c>
      <c r="B313" s="3153" t="s">
        <v>3442</v>
      </c>
      <c r="C313" s="3153">
        <v>1</v>
      </c>
      <c r="D313" s="3153">
        <v>201</v>
      </c>
      <c r="E313" s="3153">
        <v>210.44</v>
      </c>
      <c r="F313" s="3153">
        <f t="shared" si="26"/>
        <v>731.4</v>
      </c>
      <c r="G313" s="3153">
        <f t="shared" si="28"/>
        <v>34756</v>
      </c>
      <c r="AF313" s="3152">
        <v>311</v>
      </c>
      <c r="AG313" s="3156" t="s">
        <v>3491</v>
      </c>
      <c r="AH313" s="3156" t="s">
        <v>3392</v>
      </c>
      <c r="AI313" s="3153">
        <v>1311</v>
      </c>
      <c r="AJ313" s="3153">
        <v>47.92</v>
      </c>
      <c r="AK313" s="3153">
        <f t="shared" si="27"/>
        <v>6.39</v>
      </c>
      <c r="AL313" s="3153">
        <f t="shared" si="29"/>
        <v>1333</v>
      </c>
    </row>
    <row r="314" spans="1:38" ht="14.25" thickBot="1">
      <c r="A314" s="3152">
        <v>312</v>
      </c>
      <c r="B314" s="3153" t="s">
        <v>3442</v>
      </c>
      <c r="C314" s="3153">
        <v>1</v>
      </c>
      <c r="D314" s="3153">
        <v>202</v>
      </c>
      <c r="E314" s="3153">
        <v>193.68</v>
      </c>
      <c r="F314" s="3153">
        <f t="shared" si="26"/>
        <v>673.2</v>
      </c>
      <c r="G314" s="3153">
        <f t="shared" si="28"/>
        <v>34756</v>
      </c>
      <c r="AF314" s="3152">
        <v>312</v>
      </c>
      <c r="AG314" s="3156" t="s">
        <v>3491</v>
      </c>
      <c r="AH314" s="3156" t="s">
        <v>3392</v>
      </c>
      <c r="AI314" s="3153">
        <v>1312</v>
      </c>
      <c r="AJ314" s="3153">
        <v>47.92</v>
      </c>
      <c r="AK314" s="3153">
        <f t="shared" si="27"/>
        <v>6.39</v>
      </c>
      <c r="AL314" s="3153">
        <f t="shared" si="29"/>
        <v>1333</v>
      </c>
    </row>
    <row r="315" spans="1:38" ht="14.25" thickBot="1">
      <c r="A315" s="3152">
        <v>313</v>
      </c>
      <c r="B315" s="3153" t="s">
        <v>3442</v>
      </c>
      <c r="C315" s="3153">
        <v>2</v>
      </c>
      <c r="D315" s="3153">
        <v>101</v>
      </c>
      <c r="E315" s="3153">
        <v>182.98</v>
      </c>
      <c r="F315" s="3153">
        <f t="shared" si="26"/>
        <v>636</v>
      </c>
      <c r="G315" s="3153">
        <f t="shared" si="28"/>
        <v>34756</v>
      </c>
      <c r="AF315" s="3152">
        <v>313</v>
      </c>
      <c r="AG315" s="3156" t="s">
        <v>3491</v>
      </c>
      <c r="AH315" s="3156" t="s">
        <v>3392</v>
      </c>
      <c r="AI315" s="3153">
        <v>1313</v>
      </c>
      <c r="AJ315" s="3153">
        <v>47.92</v>
      </c>
      <c r="AK315" s="3153">
        <f t="shared" si="27"/>
        <v>6.39</v>
      </c>
      <c r="AL315" s="3153">
        <f t="shared" si="29"/>
        <v>1333</v>
      </c>
    </row>
    <row r="316" spans="1:38" ht="14.25" thickBot="1">
      <c r="A316" s="3152">
        <v>314</v>
      </c>
      <c r="B316" s="3153" t="s">
        <v>3442</v>
      </c>
      <c r="C316" s="3153">
        <v>2</v>
      </c>
      <c r="D316" s="3153">
        <v>201</v>
      </c>
      <c r="E316" s="3153">
        <v>193.68</v>
      </c>
      <c r="F316" s="3153">
        <f t="shared" si="26"/>
        <v>673.2</v>
      </c>
      <c r="G316" s="3153">
        <f t="shared" si="28"/>
        <v>34756</v>
      </c>
      <c r="AF316" s="3152">
        <v>314</v>
      </c>
      <c r="AG316" s="3156" t="s">
        <v>3491</v>
      </c>
      <c r="AH316" s="3156" t="s">
        <v>3392</v>
      </c>
      <c r="AI316" s="3153">
        <v>1314</v>
      </c>
      <c r="AJ316" s="3153">
        <v>47.92</v>
      </c>
      <c r="AK316" s="3153">
        <f t="shared" si="27"/>
        <v>6.39</v>
      </c>
      <c r="AL316" s="3153">
        <f t="shared" si="29"/>
        <v>1333</v>
      </c>
    </row>
    <row r="317" spans="1:38" ht="14.25" thickBot="1">
      <c r="A317" s="3152">
        <v>315</v>
      </c>
      <c r="B317" s="3153" t="s">
        <v>3442</v>
      </c>
      <c r="C317" s="3153">
        <v>2</v>
      </c>
      <c r="D317" s="3153">
        <v>202</v>
      </c>
      <c r="E317" s="3153">
        <v>193.68</v>
      </c>
      <c r="F317" s="3153">
        <f t="shared" si="26"/>
        <v>673.2</v>
      </c>
      <c r="G317" s="3153">
        <f t="shared" si="28"/>
        <v>34756</v>
      </c>
      <c r="AF317" s="3152">
        <v>315</v>
      </c>
      <c r="AG317" s="3156" t="s">
        <v>3491</v>
      </c>
      <c r="AH317" s="3156" t="s">
        <v>3392</v>
      </c>
      <c r="AI317" s="3153">
        <v>1315</v>
      </c>
      <c r="AJ317" s="3153">
        <v>47.92</v>
      </c>
      <c r="AK317" s="3153">
        <f t="shared" si="27"/>
        <v>6.39</v>
      </c>
      <c r="AL317" s="3153">
        <f t="shared" si="29"/>
        <v>1333</v>
      </c>
    </row>
    <row r="318" spans="1:38" ht="14.25" thickBot="1">
      <c r="A318" s="3152">
        <v>316</v>
      </c>
      <c r="B318" s="3153" t="s">
        <v>3442</v>
      </c>
      <c r="C318" s="3153">
        <v>3</v>
      </c>
      <c r="D318" s="3153">
        <v>101</v>
      </c>
      <c r="E318" s="3153">
        <v>182.98</v>
      </c>
      <c r="F318" s="3153">
        <f t="shared" si="26"/>
        <v>636</v>
      </c>
      <c r="G318" s="3153">
        <f t="shared" si="28"/>
        <v>34756</v>
      </c>
      <c r="AF318" s="3152">
        <v>316</v>
      </c>
      <c r="AG318" s="3156" t="s">
        <v>3491</v>
      </c>
      <c r="AH318" s="3156" t="s">
        <v>3392</v>
      </c>
      <c r="AI318" s="3153">
        <v>1316</v>
      </c>
      <c r="AJ318" s="3153">
        <v>47.92</v>
      </c>
      <c r="AK318" s="3153">
        <f t="shared" si="27"/>
        <v>6.39</v>
      </c>
      <c r="AL318" s="3153">
        <f t="shared" si="29"/>
        <v>1333</v>
      </c>
    </row>
    <row r="319" spans="1:38" ht="14.25" thickBot="1">
      <c r="A319" s="3152">
        <v>317</v>
      </c>
      <c r="B319" s="3153" t="s">
        <v>3442</v>
      </c>
      <c r="C319" s="3153">
        <v>3</v>
      </c>
      <c r="D319" s="3153">
        <v>201</v>
      </c>
      <c r="E319" s="3153">
        <v>193.68</v>
      </c>
      <c r="F319" s="3153">
        <f t="shared" si="26"/>
        <v>673.2</v>
      </c>
      <c r="G319" s="3153">
        <f t="shared" si="28"/>
        <v>34756</v>
      </c>
      <c r="AF319" s="3152">
        <v>317</v>
      </c>
      <c r="AG319" s="3156" t="s">
        <v>3491</v>
      </c>
      <c r="AH319" s="3156" t="s">
        <v>3392</v>
      </c>
      <c r="AI319" s="3153">
        <v>1317</v>
      </c>
      <c r="AJ319" s="3153">
        <v>47.92</v>
      </c>
      <c r="AK319" s="3153">
        <f t="shared" si="27"/>
        <v>6.39</v>
      </c>
      <c r="AL319" s="3153">
        <f t="shared" si="29"/>
        <v>1333</v>
      </c>
    </row>
    <row r="320" spans="1:38" ht="14.25" thickBot="1">
      <c r="A320" s="3152">
        <v>318</v>
      </c>
      <c r="B320" s="3153" t="s">
        <v>3442</v>
      </c>
      <c r="C320" s="3153">
        <v>3</v>
      </c>
      <c r="D320" s="3153">
        <v>202</v>
      </c>
      <c r="E320" s="3153">
        <v>193.68</v>
      </c>
      <c r="F320" s="3153">
        <f t="shared" si="26"/>
        <v>673.2</v>
      </c>
      <c r="G320" s="3153">
        <f t="shared" si="28"/>
        <v>34756</v>
      </c>
      <c r="AF320" s="3152">
        <v>318</v>
      </c>
      <c r="AG320" s="3156" t="s">
        <v>3491</v>
      </c>
      <c r="AH320" s="3156" t="s">
        <v>3392</v>
      </c>
      <c r="AI320" s="3153">
        <v>1318</v>
      </c>
      <c r="AJ320" s="3153">
        <v>47.92</v>
      </c>
      <c r="AK320" s="3153">
        <f t="shared" si="27"/>
        <v>6.39</v>
      </c>
      <c r="AL320" s="3153">
        <f t="shared" si="29"/>
        <v>1333</v>
      </c>
    </row>
    <row r="321" spans="1:38" ht="14.25" thickBot="1">
      <c r="A321" s="3152">
        <v>319</v>
      </c>
      <c r="B321" s="3153" t="s">
        <v>3442</v>
      </c>
      <c r="C321" s="3153">
        <v>4</v>
      </c>
      <c r="D321" s="3153">
        <v>101</v>
      </c>
      <c r="E321" s="3153">
        <v>191.15</v>
      </c>
      <c r="F321" s="3153">
        <f t="shared" si="26"/>
        <v>664.4</v>
      </c>
      <c r="G321" s="3153">
        <f t="shared" si="28"/>
        <v>34756</v>
      </c>
      <c r="AF321" s="3152">
        <v>319</v>
      </c>
      <c r="AG321" s="3156" t="s">
        <v>3491</v>
      </c>
      <c r="AH321" s="3156" t="s">
        <v>3392</v>
      </c>
      <c r="AI321" s="3153">
        <v>1319</v>
      </c>
      <c r="AJ321" s="3153">
        <v>47.92</v>
      </c>
      <c r="AK321" s="3153">
        <f t="shared" si="27"/>
        <v>6.39</v>
      </c>
      <c r="AL321" s="3153">
        <f t="shared" si="29"/>
        <v>1333</v>
      </c>
    </row>
    <row r="322" spans="1:38" ht="14.25" thickBot="1">
      <c r="A322" s="3152">
        <v>320</v>
      </c>
      <c r="B322" s="3153" t="s">
        <v>3442</v>
      </c>
      <c r="C322" s="3153">
        <v>4</v>
      </c>
      <c r="D322" s="3153">
        <v>201</v>
      </c>
      <c r="E322" s="3153">
        <v>193.68</v>
      </c>
      <c r="F322" s="3153">
        <f t="shared" si="26"/>
        <v>673.2</v>
      </c>
      <c r="G322" s="3153">
        <f t="shared" si="28"/>
        <v>34756</v>
      </c>
      <c r="AF322" s="3152">
        <v>320</v>
      </c>
      <c r="AG322" s="3156" t="s">
        <v>3491</v>
      </c>
      <c r="AH322" s="3156" t="s">
        <v>3392</v>
      </c>
      <c r="AI322" s="3153">
        <v>1320</v>
      </c>
      <c r="AJ322" s="3153">
        <v>47.92</v>
      </c>
      <c r="AK322" s="3153">
        <f t="shared" si="27"/>
        <v>6.39</v>
      </c>
      <c r="AL322" s="3153">
        <f t="shared" si="29"/>
        <v>1333</v>
      </c>
    </row>
    <row r="323" spans="1:38" ht="14.25" thickBot="1">
      <c r="A323" s="3152">
        <v>321</v>
      </c>
      <c r="B323" s="3153" t="s">
        <v>3442</v>
      </c>
      <c r="C323" s="3153">
        <v>4</v>
      </c>
      <c r="D323" s="3153">
        <v>202</v>
      </c>
      <c r="E323" s="3153">
        <v>210.44</v>
      </c>
      <c r="F323" s="3153">
        <f t="shared" si="26"/>
        <v>731.4</v>
      </c>
      <c r="G323" s="3153">
        <f t="shared" si="28"/>
        <v>34756</v>
      </c>
      <c r="AF323" s="3152">
        <v>321</v>
      </c>
      <c r="AG323" s="3156" t="s">
        <v>3491</v>
      </c>
      <c r="AH323" s="3156" t="s">
        <v>3392</v>
      </c>
      <c r="AI323" s="3153">
        <v>1321</v>
      </c>
      <c r="AJ323" s="3153">
        <v>47.92</v>
      </c>
      <c r="AK323" s="3153">
        <f t="shared" si="27"/>
        <v>6.39</v>
      </c>
      <c r="AL323" s="3153">
        <f t="shared" si="29"/>
        <v>1333</v>
      </c>
    </row>
    <row r="324" spans="1:38" ht="14.25" thickBot="1">
      <c r="A324" s="3152">
        <v>322</v>
      </c>
      <c r="B324" s="3153" t="s">
        <v>3443</v>
      </c>
      <c r="C324" s="3153">
        <v>1</v>
      </c>
      <c r="D324" s="3153">
        <v>101</v>
      </c>
      <c r="E324" s="3153">
        <v>191.89</v>
      </c>
      <c r="F324" s="3153">
        <f t="shared" ref="F324:F387" si="30">ROUND(G324*E324/10000,1)</f>
        <v>666.9</v>
      </c>
      <c r="G324" s="3153">
        <f t="shared" si="28"/>
        <v>34756</v>
      </c>
      <c r="AF324" s="3152">
        <v>322</v>
      </c>
      <c r="AG324" s="3156" t="s">
        <v>3491</v>
      </c>
      <c r="AH324" s="3156" t="s">
        <v>3392</v>
      </c>
      <c r="AI324" s="3153">
        <v>1322</v>
      </c>
      <c r="AJ324" s="3153">
        <v>47.92</v>
      </c>
      <c r="AK324" s="3153">
        <f t="shared" ref="AK324:AK387" si="31">ROUND(AL324*AJ324/10000,2)</f>
        <v>6.39</v>
      </c>
      <c r="AL324" s="3153">
        <f t="shared" si="29"/>
        <v>1333</v>
      </c>
    </row>
    <row r="325" spans="1:38" ht="14.25" thickBot="1">
      <c r="A325" s="3152">
        <v>323</v>
      </c>
      <c r="B325" s="3153" t="s">
        <v>3443</v>
      </c>
      <c r="C325" s="3153">
        <v>1</v>
      </c>
      <c r="D325" s="3153">
        <v>201</v>
      </c>
      <c r="E325" s="3153">
        <v>211.12</v>
      </c>
      <c r="F325" s="3153">
        <f t="shared" si="30"/>
        <v>733.8</v>
      </c>
      <c r="G325" s="3153">
        <f t="shared" ref="G325:G388" si="32">G324</f>
        <v>34756</v>
      </c>
      <c r="AF325" s="3152">
        <v>323</v>
      </c>
      <c r="AG325" s="3156" t="s">
        <v>3491</v>
      </c>
      <c r="AH325" s="3156" t="s">
        <v>3392</v>
      </c>
      <c r="AI325" s="3153">
        <v>1323</v>
      </c>
      <c r="AJ325" s="3153">
        <v>47.92</v>
      </c>
      <c r="AK325" s="3153">
        <f t="shared" si="31"/>
        <v>6.39</v>
      </c>
      <c r="AL325" s="3153">
        <f t="shared" ref="AL325:AL388" si="33">AL324</f>
        <v>1333</v>
      </c>
    </row>
    <row r="326" spans="1:38" ht="14.25" thickBot="1">
      <c r="A326" s="3152">
        <v>324</v>
      </c>
      <c r="B326" s="3153" t="s">
        <v>3443</v>
      </c>
      <c r="C326" s="3153">
        <v>1</v>
      </c>
      <c r="D326" s="3153">
        <v>202</v>
      </c>
      <c r="E326" s="3153">
        <v>194.3</v>
      </c>
      <c r="F326" s="3153">
        <f t="shared" si="30"/>
        <v>675.3</v>
      </c>
      <c r="G326" s="3153">
        <f t="shared" si="32"/>
        <v>34756</v>
      </c>
      <c r="AF326" s="3152">
        <v>324</v>
      </c>
      <c r="AG326" s="3156" t="s">
        <v>3491</v>
      </c>
      <c r="AH326" s="3156" t="s">
        <v>3392</v>
      </c>
      <c r="AI326" s="3153">
        <v>1324</v>
      </c>
      <c r="AJ326" s="3153">
        <v>47.92</v>
      </c>
      <c r="AK326" s="3153">
        <f t="shared" si="31"/>
        <v>6.39</v>
      </c>
      <c r="AL326" s="3153">
        <f t="shared" si="33"/>
        <v>1333</v>
      </c>
    </row>
    <row r="327" spans="1:38" ht="14.25" thickBot="1">
      <c r="A327" s="3152">
        <v>325</v>
      </c>
      <c r="B327" s="3153" t="s">
        <v>3443</v>
      </c>
      <c r="C327" s="3153">
        <v>2</v>
      </c>
      <c r="D327" s="3153">
        <v>101</v>
      </c>
      <c r="E327" s="3153">
        <v>191.89</v>
      </c>
      <c r="F327" s="3153">
        <f t="shared" si="30"/>
        <v>666.9</v>
      </c>
      <c r="G327" s="3153">
        <f t="shared" si="32"/>
        <v>34756</v>
      </c>
      <c r="AF327" s="3152">
        <v>325</v>
      </c>
      <c r="AG327" s="3156" t="s">
        <v>3491</v>
      </c>
      <c r="AH327" s="3156" t="s">
        <v>3392</v>
      </c>
      <c r="AI327" s="3153">
        <v>1325</v>
      </c>
      <c r="AJ327" s="3153">
        <v>47.92</v>
      </c>
      <c r="AK327" s="3153">
        <f t="shared" si="31"/>
        <v>6.39</v>
      </c>
      <c r="AL327" s="3153">
        <f t="shared" si="33"/>
        <v>1333</v>
      </c>
    </row>
    <row r="328" spans="1:38" ht="14.25" thickBot="1">
      <c r="A328" s="3152">
        <v>326</v>
      </c>
      <c r="B328" s="3153" t="s">
        <v>3443</v>
      </c>
      <c r="C328" s="3153">
        <v>2</v>
      </c>
      <c r="D328" s="3153">
        <v>201</v>
      </c>
      <c r="E328" s="3153">
        <v>194.3</v>
      </c>
      <c r="F328" s="3153">
        <f t="shared" si="30"/>
        <v>675.3</v>
      </c>
      <c r="G328" s="3153">
        <f t="shared" si="32"/>
        <v>34756</v>
      </c>
      <c r="AF328" s="3152">
        <v>326</v>
      </c>
      <c r="AG328" s="3156" t="s">
        <v>3491</v>
      </c>
      <c r="AH328" s="3156" t="s">
        <v>3392</v>
      </c>
      <c r="AI328" s="3153">
        <v>1326</v>
      </c>
      <c r="AJ328" s="3153">
        <v>47.92</v>
      </c>
      <c r="AK328" s="3153">
        <f t="shared" si="31"/>
        <v>6.39</v>
      </c>
      <c r="AL328" s="3153">
        <f t="shared" si="33"/>
        <v>1333</v>
      </c>
    </row>
    <row r="329" spans="1:38" ht="14.25" thickBot="1">
      <c r="A329" s="3152">
        <v>327</v>
      </c>
      <c r="B329" s="3153" t="s">
        <v>3443</v>
      </c>
      <c r="C329" s="3153">
        <v>2</v>
      </c>
      <c r="D329" s="3153">
        <v>202</v>
      </c>
      <c r="E329" s="3153">
        <v>211.12</v>
      </c>
      <c r="F329" s="3153">
        <f t="shared" si="30"/>
        <v>733.8</v>
      </c>
      <c r="G329" s="3153">
        <f t="shared" si="32"/>
        <v>34756</v>
      </c>
      <c r="AF329" s="3152">
        <v>327</v>
      </c>
      <c r="AG329" s="3156" t="s">
        <v>3491</v>
      </c>
      <c r="AH329" s="3156" t="s">
        <v>3392</v>
      </c>
      <c r="AI329" s="3153">
        <v>1327</v>
      </c>
      <c r="AJ329" s="3153">
        <v>47.92</v>
      </c>
      <c r="AK329" s="3153">
        <f t="shared" si="31"/>
        <v>6.39</v>
      </c>
      <c r="AL329" s="3153">
        <f t="shared" si="33"/>
        <v>1333</v>
      </c>
    </row>
    <row r="330" spans="1:38" ht="14.25" thickBot="1">
      <c r="A330" s="3152">
        <v>328</v>
      </c>
      <c r="B330" s="3153" t="s">
        <v>3444</v>
      </c>
      <c r="C330" s="3153">
        <v>1</v>
      </c>
      <c r="D330" s="3153">
        <v>101</v>
      </c>
      <c r="E330" s="3153">
        <v>191.15</v>
      </c>
      <c r="F330" s="3153">
        <f t="shared" si="30"/>
        <v>664.4</v>
      </c>
      <c r="G330" s="3153">
        <f t="shared" si="32"/>
        <v>34756</v>
      </c>
      <c r="AF330" s="3152">
        <v>328</v>
      </c>
      <c r="AG330" s="3156" t="s">
        <v>3491</v>
      </c>
      <c r="AH330" s="3156" t="s">
        <v>3392</v>
      </c>
      <c r="AI330" s="3153">
        <v>1328</v>
      </c>
      <c r="AJ330" s="3153">
        <v>47.92</v>
      </c>
      <c r="AK330" s="3153">
        <f t="shared" si="31"/>
        <v>6.39</v>
      </c>
      <c r="AL330" s="3153">
        <f t="shared" si="33"/>
        <v>1333</v>
      </c>
    </row>
    <row r="331" spans="1:38" ht="14.25" thickBot="1">
      <c r="A331" s="3152">
        <v>329</v>
      </c>
      <c r="B331" s="3153" t="s">
        <v>3444</v>
      </c>
      <c r="C331" s="3153">
        <v>1</v>
      </c>
      <c r="D331" s="3153">
        <v>201</v>
      </c>
      <c r="E331" s="3153">
        <v>210.44</v>
      </c>
      <c r="F331" s="3153">
        <f t="shared" si="30"/>
        <v>731.4</v>
      </c>
      <c r="G331" s="3153">
        <f t="shared" si="32"/>
        <v>34756</v>
      </c>
      <c r="AF331" s="3152">
        <v>329</v>
      </c>
      <c r="AG331" s="3156" t="s">
        <v>3491</v>
      </c>
      <c r="AH331" s="3156" t="s">
        <v>3392</v>
      </c>
      <c r="AI331" s="3153">
        <v>1329</v>
      </c>
      <c r="AJ331" s="3153">
        <v>47.92</v>
      </c>
      <c r="AK331" s="3153">
        <f t="shared" si="31"/>
        <v>6.39</v>
      </c>
      <c r="AL331" s="3153">
        <f t="shared" si="33"/>
        <v>1333</v>
      </c>
    </row>
    <row r="332" spans="1:38" ht="14.25" thickBot="1">
      <c r="A332" s="3152">
        <v>330</v>
      </c>
      <c r="B332" s="3153" t="s">
        <v>3444</v>
      </c>
      <c r="C332" s="3153">
        <v>1</v>
      </c>
      <c r="D332" s="3153">
        <v>202</v>
      </c>
      <c r="E332" s="3153">
        <v>193.68</v>
      </c>
      <c r="F332" s="3153">
        <f t="shared" si="30"/>
        <v>673.2</v>
      </c>
      <c r="G332" s="3153">
        <f t="shared" si="32"/>
        <v>34756</v>
      </c>
      <c r="AF332" s="3152">
        <v>330</v>
      </c>
      <c r="AG332" s="3156" t="s">
        <v>3491</v>
      </c>
      <c r="AH332" s="3156" t="s">
        <v>3392</v>
      </c>
      <c r="AI332" s="3153">
        <v>1330</v>
      </c>
      <c r="AJ332" s="3153">
        <v>47.92</v>
      </c>
      <c r="AK332" s="3153">
        <f t="shared" si="31"/>
        <v>6.39</v>
      </c>
      <c r="AL332" s="3153">
        <f t="shared" si="33"/>
        <v>1333</v>
      </c>
    </row>
    <row r="333" spans="1:38" ht="14.25" thickBot="1">
      <c r="A333" s="3152">
        <v>331</v>
      </c>
      <c r="B333" s="3153" t="s">
        <v>3444</v>
      </c>
      <c r="C333" s="3153">
        <v>2</v>
      </c>
      <c r="D333" s="3153">
        <v>101</v>
      </c>
      <c r="E333" s="3153">
        <v>182.98</v>
      </c>
      <c r="F333" s="3153">
        <f t="shared" si="30"/>
        <v>636</v>
      </c>
      <c r="G333" s="3153">
        <f t="shared" si="32"/>
        <v>34756</v>
      </c>
      <c r="AF333" s="3152">
        <v>331</v>
      </c>
      <c r="AG333" s="3156" t="s">
        <v>3491</v>
      </c>
      <c r="AH333" s="3156" t="s">
        <v>3392</v>
      </c>
      <c r="AI333" s="3153">
        <v>1331</v>
      </c>
      <c r="AJ333" s="3153">
        <v>47.92</v>
      </c>
      <c r="AK333" s="3153">
        <f t="shared" si="31"/>
        <v>6.39</v>
      </c>
      <c r="AL333" s="3153">
        <f t="shared" si="33"/>
        <v>1333</v>
      </c>
    </row>
    <row r="334" spans="1:38" ht="14.25" thickBot="1">
      <c r="A334" s="3152">
        <v>332</v>
      </c>
      <c r="B334" s="3153" t="s">
        <v>3444</v>
      </c>
      <c r="C334" s="3153">
        <v>2</v>
      </c>
      <c r="D334" s="3153">
        <v>201</v>
      </c>
      <c r="E334" s="3153">
        <v>193.68</v>
      </c>
      <c r="F334" s="3153">
        <f t="shared" si="30"/>
        <v>673.2</v>
      </c>
      <c r="G334" s="3153">
        <f t="shared" si="32"/>
        <v>34756</v>
      </c>
      <c r="AF334" s="3152">
        <v>332</v>
      </c>
      <c r="AG334" s="3156" t="s">
        <v>3491</v>
      </c>
      <c r="AH334" s="3156" t="s">
        <v>3392</v>
      </c>
      <c r="AI334" s="3153">
        <v>1332</v>
      </c>
      <c r="AJ334" s="3153">
        <v>47.92</v>
      </c>
      <c r="AK334" s="3153">
        <f t="shared" si="31"/>
        <v>6.39</v>
      </c>
      <c r="AL334" s="3153">
        <f t="shared" si="33"/>
        <v>1333</v>
      </c>
    </row>
    <row r="335" spans="1:38" ht="14.25" thickBot="1">
      <c r="A335" s="3152">
        <v>333</v>
      </c>
      <c r="B335" s="3153" t="s">
        <v>3444</v>
      </c>
      <c r="C335" s="3153">
        <v>2</v>
      </c>
      <c r="D335" s="3153">
        <v>202</v>
      </c>
      <c r="E335" s="3153">
        <v>193.68</v>
      </c>
      <c r="F335" s="3153">
        <f t="shared" si="30"/>
        <v>673.2</v>
      </c>
      <c r="G335" s="3153">
        <f t="shared" si="32"/>
        <v>34756</v>
      </c>
      <c r="AF335" s="3152">
        <v>333</v>
      </c>
      <c r="AG335" s="3156" t="s">
        <v>3491</v>
      </c>
      <c r="AH335" s="3156" t="s">
        <v>3392</v>
      </c>
      <c r="AI335" s="3153">
        <v>1333</v>
      </c>
      <c r="AJ335" s="3153">
        <v>47.92</v>
      </c>
      <c r="AK335" s="3153">
        <f t="shared" si="31"/>
        <v>6.39</v>
      </c>
      <c r="AL335" s="3153">
        <f t="shared" si="33"/>
        <v>1333</v>
      </c>
    </row>
    <row r="336" spans="1:38" ht="14.25" thickBot="1">
      <c r="A336" s="3152">
        <v>334</v>
      </c>
      <c r="B336" s="3153" t="s">
        <v>3444</v>
      </c>
      <c r="C336" s="3153">
        <v>3</v>
      </c>
      <c r="D336" s="3153">
        <v>101</v>
      </c>
      <c r="E336" s="3153">
        <v>182.98</v>
      </c>
      <c r="F336" s="3153">
        <f t="shared" si="30"/>
        <v>636</v>
      </c>
      <c r="G336" s="3153">
        <f t="shared" si="32"/>
        <v>34756</v>
      </c>
      <c r="AF336" s="3152">
        <v>334</v>
      </c>
      <c r="AG336" s="3156" t="s">
        <v>3491</v>
      </c>
      <c r="AH336" s="3156" t="s">
        <v>3392</v>
      </c>
      <c r="AI336" s="3153">
        <v>1334</v>
      </c>
      <c r="AJ336" s="3153">
        <v>47.92</v>
      </c>
      <c r="AK336" s="3153">
        <f t="shared" si="31"/>
        <v>6.39</v>
      </c>
      <c r="AL336" s="3153">
        <f t="shared" si="33"/>
        <v>1333</v>
      </c>
    </row>
    <row r="337" spans="1:38" ht="14.25" thickBot="1">
      <c r="A337" s="3152">
        <v>335</v>
      </c>
      <c r="B337" s="3153" t="s">
        <v>3444</v>
      </c>
      <c r="C337" s="3153">
        <v>3</v>
      </c>
      <c r="D337" s="3153">
        <v>201</v>
      </c>
      <c r="E337" s="3153">
        <v>193.68</v>
      </c>
      <c r="F337" s="3153">
        <f t="shared" si="30"/>
        <v>673.2</v>
      </c>
      <c r="G337" s="3153">
        <f t="shared" si="32"/>
        <v>34756</v>
      </c>
      <c r="AF337" s="3152">
        <v>335</v>
      </c>
      <c r="AG337" s="3156" t="s">
        <v>3491</v>
      </c>
      <c r="AH337" s="3156" t="s">
        <v>3392</v>
      </c>
      <c r="AI337" s="3153">
        <v>1335</v>
      </c>
      <c r="AJ337" s="3153">
        <v>47.92</v>
      </c>
      <c r="AK337" s="3153">
        <f t="shared" si="31"/>
        <v>6.39</v>
      </c>
      <c r="AL337" s="3153">
        <f t="shared" si="33"/>
        <v>1333</v>
      </c>
    </row>
    <row r="338" spans="1:38" ht="14.25" thickBot="1">
      <c r="A338" s="3152">
        <v>336</v>
      </c>
      <c r="B338" s="3153" t="s">
        <v>3444</v>
      </c>
      <c r="C338" s="3153">
        <v>3</v>
      </c>
      <c r="D338" s="3153">
        <v>202</v>
      </c>
      <c r="E338" s="3153">
        <v>193.68</v>
      </c>
      <c r="F338" s="3153">
        <f t="shared" si="30"/>
        <v>673.2</v>
      </c>
      <c r="G338" s="3153">
        <f t="shared" si="32"/>
        <v>34756</v>
      </c>
      <c r="AF338" s="3152">
        <v>336</v>
      </c>
      <c r="AG338" s="3156" t="s">
        <v>3491</v>
      </c>
      <c r="AH338" s="3156" t="s">
        <v>3392</v>
      </c>
      <c r="AI338" s="3153">
        <v>1336</v>
      </c>
      <c r="AJ338" s="3153">
        <v>47.92</v>
      </c>
      <c r="AK338" s="3153">
        <f t="shared" si="31"/>
        <v>6.39</v>
      </c>
      <c r="AL338" s="3153">
        <f t="shared" si="33"/>
        <v>1333</v>
      </c>
    </row>
    <row r="339" spans="1:38" ht="14.25" thickBot="1">
      <c r="A339" s="3152">
        <v>337</v>
      </c>
      <c r="B339" s="3153" t="s">
        <v>3444</v>
      </c>
      <c r="C339" s="3153">
        <v>4</v>
      </c>
      <c r="D339" s="3153">
        <v>101</v>
      </c>
      <c r="E339" s="3153">
        <v>191.15</v>
      </c>
      <c r="F339" s="3153">
        <f t="shared" si="30"/>
        <v>664.4</v>
      </c>
      <c r="G339" s="3153">
        <f t="shared" si="32"/>
        <v>34756</v>
      </c>
      <c r="AF339" s="3152">
        <v>337</v>
      </c>
      <c r="AG339" s="3156" t="s">
        <v>3491</v>
      </c>
      <c r="AH339" s="3156" t="s">
        <v>3392</v>
      </c>
      <c r="AI339" s="3153">
        <v>1337</v>
      </c>
      <c r="AJ339" s="3153">
        <v>47.92</v>
      </c>
      <c r="AK339" s="3153">
        <f t="shared" si="31"/>
        <v>6.39</v>
      </c>
      <c r="AL339" s="3153">
        <f t="shared" si="33"/>
        <v>1333</v>
      </c>
    </row>
    <row r="340" spans="1:38" ht="14.25" thickBot="1">
      <c r="A340" s="3152">
        <v>338</v>
      </c>
      <c r="B340" s="3153" t="s">
        <v>3444</v>
      </c>
      <c r="C340" s="3153">
        <v>4</v>
      </c>
      <c r="D340" s="3153">
        <v>201</v>
      </c>
      <c r="E340" s="3153">
        <v>193.68</v>
      </c>
      <c r="F340" s="3153">
        <f t="shared" si="30"/>
        <v>673.2</v>
      </c>
      <c r="G340" s="3153">
        <f t="shared" si="32"/>
        <v>34756</v>
      </c>
      <c r="AF340" s="3152">
        <v>338</v>
      </c>
      <c r="AG340" s="3156" t="s">
        <v>3491</v>
      </c>
      <c r="AH340" s="3156" t="s">
        <v>3392</v>
      </c>
      <c r="AI340" s="3153">
        <v>1338</v>
      </c>
      <c r="AJ340" s="3153">
        <v>47.92</v>
      </c>
      <c r="AK340" s="3153">
        <f t="shared" si="31"/>
        <v>6.39</v>
      </c>
      <c r="AL340" s="3153">
        <f t="shared" si="33"/>
        <v>1333</v>
      </c>
    </row>
    <row r="341" spans="1:38" ht="14.25" thickBot="1">
      <c r="A341" s="3152">
        <v>339</v>
      </c>
      <c r="B341" s="3153" t="s">
        <v>3444</v>
      </c>
      <c r="C341" s="3153">
        <v>4</v>
      </c>
      <c r="D341" s="3153">
        <v>202</v>
      </c>
      <c r="E341" s="3153">
        <v>210.44</v>
      </c>
      <c r="F341" s="3153">
        <f t="shared" si="30"/>
        <v>731.4</v>
      </c>
      <c r="G341" s="3153">
        <f t="shared" si="32"/>
        <v>34756</v>
      </c>
      <c r="AF341" s="3152">
        <v>339</v>
      </c>
      <c r="AG341" s="3156" t="s">
        <v>3491</v>
      </c>
      <c r="AH341" s="3156" t="s">
        <v>3392</v>
      </c>
      <c r="AI341" s="3153">
        <v>1339</v>
      </c>
      <c r="AJ341" s="3153">
        <v>47.92</v>
      </c>
      <c r="AK341" s="3153">
        <f t="shared" si="31"/>
        <v>6.39</v>
      </c>
      <c r="AL341" s="3153">
        <f t="shared" si="33"/>
        <v>1333</v>
      </c>
    </row>
    <row r="342" spans="1:38" ht="14.25" thickBot="1">
      <c r="A342" s="3152">
        <v>340</v>
      </c>
      <c r="B342" s="3153" t="s">
        <v>3445</v>
      </c>
      <c r="C342" s="3153">
        <v>1</v>
      </c>
      <c r="D342" s="3153">
        <v>101</v>
      </c>
      <c r="E342" s="3153">
        <v>191.4</v>
      </c>
      <c r="F342" s="3153">
        <f t="shared" si="30"/>
        <v>665.2</v>
      </c>
      <c r="G342" s="3153">
        <f t="shared" si="32"/>
        <v>34756</v>
      </c>
      <c r="AF342" s="3152">
        <v>340</v>
      </c>
      <c r="AG342" s="3156" t="s">
        <v>3491</v>
      </c>
      <c r="AH342" s="3156" t="s">
        <v>3392</v>
      </c>
      <c r="AI342" s="3153">
        <v>1340</v>
      </c>
      <c r="AJ342" s="3153">
        <v>47.92</v>
      </c>
      <c r="AK342" s="3153">
        <f t="shared" si="31"/>
        <v>6.39</v>
      </c>
      <c r="AL342" s="3153">
        <f t="shared" si="33"/>
        <v>1333</v>
      </c>
    </row>
    <row r="343" spans="1:38" ht="14.25" thickBot="1">
      <c r="A343" s="3152">
        <v>341</v>
      </c>
      <c r="B343" s="3153" t="s">
        <v>3445</v>
      </c>
      <c r="C343" s="3153">
        <v>1</v>
      </c>
      <c r="D343" s="3153">
        <v>201</v>
      </c>
      <c r="E343" s="3153">
        <v>210.67</v>
      </c>
      <c r="F343" s="3153">
        <f t="shared" si="30"/>
        <v>732.2</v>
      </c>
      <c r="G343" s="3153">
        <f t="shared" si="32"/>
        <v>34756</v>
      </c>
      <c r="AF343" s="3152">
        <v>341</v>
      </c>
      <c r="AG343" s="3156" t="s">
        <v>3491</v>
      </c>
      <c r="AH343" s="3156" t="s">
        <v>3392</v>
      </c>
      <c r="AI343" s="3153">
        <v>1341</v>
      </c>
      <c r="AJ343" s="3153">
        <v>47.92</v>
      </c>
      <c r="AK343" s="3153">
        <f t="shared" si="31"/>
        <v>6.39</v>
      </c>
      <c r="AL343" s="3153">
        <f t="shared" si="33"/>
        <v>1333</v>
      </c>
    </row>
    <row r="344" spans="1:38" ht="14.25" thickBot="1">
      <c r="A344" s="3152">
        <v>342</v>
      </c>
      <c r="B344" s="3153" t="s">
        <v>3445</v>
      </c>
      <c r="C344" s="3153">
        <v>1</v>
      </c>
      <c r="D344" s="3153">
        <v>202</v>
      </c>
      <c r="E344" s="3153">
        <v>193.89</v>
      </c>
      <c r="F344" s="3153">
        <f t="shared" si="30"/>
        <v>673.9</v>
      </c>
      <c r="G344" s="3153">
        <f t="shared" si="32"/>
        <v>34756</v>
      </c>
      <c r="AF344" s="3152">
        <v>342</v>
      </c>
      <c r="AG344" s="3156" t="s">
        <v>3491</v>
      </c>
      <c r="AH344" s="3156" t="s">
        <v>3392</v>
      </c>
      <c r="AI344" s="3153">
        <v>1342</v>
      </c>
      <c r="AJ344" s="3153">
        <v>47.92</v>
      </c>
      <c r="AK344" s="3153">
        <f t="shared" si="31"/>
        <v>6.39</v>
      </c>
      <c r="AL344" s="3153">
        <f t="shared" si="33"/>
        <v>1333</v>
      </c>
    </row>
    <row r="345" spans="1:38" ht="14.25" thickBot="1">
      <c r="A345" s="3152">
        <v>343</v>
      </c>
      <c r="B345" s="3153" t="s">
        <v>3445</v>
      </c>
      <c r="C345" s="3153">
        <v>2</v>
      </c>
      <c r="D345" s="3153">
        <v>101</v>
      </c>
      <c r="E345" s="3153">
        <v>183.22</v>
      </c>
      <c r="F345" s="3153">
        <f t="shared" si="30"/>
        <v>636.79999999999995</v>
      </c>
      <c r="G345" s="3153">
        <f t="shared" si="32"/>
        <v>34756</v>
      </c>
      <c r="AF345" s="3152">
        <v>343</v>
      </c>
      <c r="AG345" s="3156" t="s">
        <v>3491</v>
      </c>
      <c r="AH345" s="3156" t="s">
        <v>3392</v>
      </c>
      <c r="AI345" s="3153">
        <v>1343</v>
      </c>
      <c r="AJ345" s="3153">
        <v>47.92</v>
      </c>
      <c r="AK345" s="3153">
        <f t="shared" si="31"/>
        <v>6.39</v>
      </c>
      <c r="AL345" s="3153">
        <f t="shared" si="33"/>
        <v>1333</v>
      </c>
    </row>
    <row r="346" spans="1:38" ht="14.25" thickBot="1">
      <c r="A346" s="3152">
        <v>344</v>
      </c>
      <c r="B346" s="3153" t="s">
        <v>3445</v>
      </c>
      <c r="C346" s="3153">
        <v>2</v>
      </c>
      <c r="D346" s="3153">
        <v>201</v>
      </c>
      <c r="E346" s="3153">
        <v>193.89</v>
      </c>
      <c r="F346" s="3153">
        <f t="shared" si="30"/>
        <v>673.9</v>
      </c>
      <c r="G346" s="3153">
        <f t="shared" si="32"/>
        <v>34756</v>
      </c>
      <c r="AF346" s="3152">
        <v>344</v>
      </c>
      <c r="AG346" s="3156" t="s">
        <v>3491</v>
      </c>
      <c r="AH346" s="3156" t="s">
        <v>3392</v>
      </c>
      <c r="AI346" s="3153">
        <v>1344</v>
      </c>
      <c r="AJ346" s="3153">
        <v>47.92</v>
      </c>
      <c r="AK346" s="3153">
        <f t="shared" si="31"/>
        <v>6.39</v>
      </c>
      <c r="AL346" s="3153">
        <f t="shared" si="33"/>
        <v>1333</v>
      </c>
    </row>
    <row r="347" spans="1:38" ht="14.25" thickBot="1">
      <c r="A347" s="3152">
        <v>345</v>
      </c>
      <c r="B347" s="3153" t="s">
        <v>3445</v>
      </c>
      <c r="C347" s="3153">
        <v>2</v>
      </c>
      <c r="D347" s="3153">
        <v>202</v>
      </c>
      <c r="E347" s="3153">
        <v>193.89</v>
      </c>
      <c r="F347" s="3153">
        <f t="shared" si="30"/>
        <v>673.9</v>
      </c>
      <c r="G347" s="3153">
        <f t="shared" si="32"/>
        <v>34756</v>
      </c>
      <c r="AF347" s="3152">
        <v>345</v>
      </c>
      <c r="AG347" s="3156" t="s">
        <v>3491</v>
      </c>
      <c r="AH347" s="3156" t="s">
        <v>3392</v>
      </c>
      <c r="AI347" s="3153">
        <v>1345</v>
      </c>
      <c r="AJ347" s="3153">
        <v>47.92</v>
      </c>
      <c r="AK347" s="3153">
        <f t="shared" si="31"/>
        <v>6.39</v>
      </c>
      <c r="AL347" s="3153">
        <f t="shared" si="33"/>
        <v>1333</v>
      </c>
    </row>
    <row r="348" spans="1:38" ht="14.25" thickBot="1">
      <c r="A348" s="3152">
        <v>346</v>
      </c>
      <c r="B348" s="3153" t="s">
        <v>3445</v>
      </c>
      <c r="C348" s="3153">
        <v>3</v>
      </c>
      <c r="D348" s="3153">
        <v>101</v>
      </c>
      <c r="E348" s="3153">
        <v>191.4</v>
      </c>
      <c r="F348" s="3153">
        <f t="shared" si="30"/>
        <v>665.2</v>
      </c>
      <c r="G348" s="3153">
        <f t="shared" si="32"/>
        <v>34756</v>
      </c>
      <c r="AF348" s="3152">
        <v>346</v>
      </c>
      <c r="AG348" s="3156" t="s">
        <v>3491</v>
      </c>
      <c r="AH348" s="3156" t="s">
        <v>3392</v>
      </c>
      <c r="AI348" s="3153">
        <v>1346</v>
      </c>
      <c r="AJ348" s="3153">
        <v>47.92</v>
      </c>
      <c r="AK348" s="3153">
        <f t="shared" si="31"/>
        <v>6.39</v>
      </c>
      <c r="AL348" s="3153">
        <f t="shared" si="33"/>
        <v>1333</v>
      </c>
    </row>
    <row r="349" spans="1:38" ht="14.25" thickBot="1">
      <c r="A349" s="3152">
        <v>347</v>
      </c>
      <c r="B349" s="3153" t="s">
        <v>3445</v>
      </c>
      <c r="C349" s="3153">
        <v>3</v>
      </c>
      <c r="D349" s="3153">
        <v>201</v>
      </c>
      <c r="E349" s="3153">
        <v>193.89</v>
      </c>
      <c r="F349" s="3153">
        <f t="shared" si="30"/>
        <v>673.9</v>
      </c>
      <c r="G349" s="3153">
        <f t="shared" si="32"/>
        <v>34756</v>
      </c>
      <c r="AF349" s="3152">
        <v>347</v>
      </c>
      <c r="AG349" s="3156" t="s">
        <v>3491</v>
      </c>
      <c r="AH349" s="3156" t="s">
        <v>3392</v>
      </c>
      <c r="AI349" s="3153">
        <v>1347</v>
      </c>
      <c r="AJ349" s="3153">
        <v>47.92</v>
      </c>
      <c r="AK349" s="3153">
        <f t="shared" si="31"/>
        <v>6.39</v>
      </c>
      <c r="AL349" s="3153">
        <f t="shared" si="33"/>
        <v>1333</v>
      </c>
    </row>
    <row r="350" spans="1:38" ht="14.25" thickBot="1">
      <c r="A350" s="3152">
        <v>348</v>
      </c>
      <c r="B350" s="3153" t="s">
        <v>3445</v>
      </c>
      <c r="C350" s="3153">
        <v>3</v>
      </c>
      <c r="D350" s="3153">
        <v>202</v>
      </c>
      <c r="E350" s="3153">
        <v>210.67</v>
      </c>
      <c r="F350" s="3153">
        <f t="shared" si="30"/>
        <v>732.2</v>
      </c>
      <c r="G350" s="3153">
        <f t="shared" si="32"/>
        <v>34756</v>
      </c>
      <c r="AF350" s="3152">
        <v>348</v>
      </c>
      <c r="AG350" s="3156" t="s">
        <v>3491</v>
      </c>
      <c r="AH350" s="3156" t="s">
        <v>3392</v>
      </c>
      <c r="AI350" s="3153">
        <v>1348</v>
      </c>
      <c r="AJ350" s="3153">
        <v>47.92</v>
      </c>
      <c r="AK350" s="3153">
        <f t="shared" si="31"/>
        <v>6.39</v>
      </c>
      <c r="AL350" s="3153">
        <f t="shared" si="33"/>
        <v>1333</v>
      </c>
    </row>
    <row r="351" spans="1:38" ht="14.25" thickBot="1">
      <c r="A351" s="3152">
        <v>349</v>
      </c>
      <c r="B351" s="3153" t="s">
        <v>3446</v>
      </c>
      <c r="C351" s="3153">
        <v>1</v>
      </c>
      <c r="D351" s="3153">
        <v>101</v>
      </c>
      <c r="E351" s="3153">
        <v>191.4</v>
      </c>
      <c r="F351" s="3153">
        <f t="shared" si="30"/>
        <v>665.2</v>
      </c>
      <c r="G351" s="3153">
        <f t="shared" si="32"/>
        <v>34756</v>
      </c>
      <c r="AF351" s="3152">
        <v>349</v>
      </c>
      <c r="AG351" s="3156" t="s">
        <v>3491</v>
      </c>
      <c r="AH351" s="3156" t="s">
        <v>3392</v>
      </c>
      <c r="AI351" s="3153">
        <v>1349</v>
      </c>
      <c r="AJ351" s="3153">
        <v>47.92</v>
      </c>
      <c r="AK351" s="3153">
        <f t="shared" si="31"/>
        <v>6.39</v>
      </c>
      <c r="AL351" s="3153">
        <f t="shared" si="33"/>
        <v>1333</v>
      </c>
    </row>
    <row r="352" spans="1:38" ht="14.25" thickBot="1">
      <c r="A352" s="3152">
        <v>350</v>
      </c>
      <c r="B352" s="3153" t="s">
        <v>3446</v>
      </c>
      <c r="C352" s="3153">
        <v>1</v>
      </c>
      <c r="D352" s="3153">
        <v>201</v>
      </c>
      <c r="E352" s="3153">
        <v>210.67</v>
      </c>
      <c r="F352" s="3153">
        <f t="shared" si="30"/>
        <v>732.2</v>
      </c>
      <c r="G352" s="3153">
        <f t="shared" si="32"/>
        <v>34756</v>
      </c>
      <c r="AF352" s="3152">
        <v>350</v>
      </c>
      <c r="AG352" s="3156" t="s">
        <v>3491</v>
      </c>
      <c r="AH352" s="3156" t="s">
        <v>3392</v>
      </c>
      <c r="AI352" s="3153">
        <v>1350</v>
      </c>
      <c r="AJ352" s="3153">
        <v>47.92</v>
      </c>
      <c r="AK352" s="3153">
        <f t="shared" si="31"/>
        <v>6.39</v>
      </c>
      <c r="AL352" s="3153">
        <f t="shared" si="33"/>
        <v>1333</v>
      </c>
    </row>
    <row r="353" spans="1:38" ht="14.25" thickBot="1">
      <c r="A353" s="3152">
        <v>351</v>
      </c>
      <c r="B353" s="3153" t="s">
        <v>3446</v>
      </c>
      <c r="C353" s="3153">
        <v>1</v>
      </c>
      <c r="D353" s="3153">
        <v>202</v>
      </c>
      <c r="E353" s="3153">
        <v>193.89</v>
      </c>
      <c r="F353" s="3153">
        <f t="shared" si="30"/>
        <v>673.9</v>
      </c>
      <c r="G353" s="3153">
        <f t="shared" si="32"/>
        <v>34756</v>
      </c>
      <c r="AF353" s="3152">
        <v>351</v>
      </c>
      <c r="AG353" s="3156" t="s">
        <v>3491</v>
      </c>
      <c r="AH353" s="3156" t="s">
        <v>3392</v>
      </c>
      <c r="AI353" s="3153">
        <v>1351</v>
      </c>
      <c r="AJ353" s="3153">
        <v>47.92</v>
      </c>
      <c r="AK353" s="3153">
        <f t="shared" si="31"/>
        <v>6.39</v>
      </c>
      <c r="AL353" s="3153">
        <f t="shared" si="33"/>
        <v>1333</v>
      </c>
    </row>
    <row r="354" spans="1:38" ht="14.25" thickBot="1">
      <c r="A354" s="3152">
        <v>352</v>
      </c>
      <c r="B354" s="3153" t="s">
        <v>3446</v>
      </c>
      <c r="C354" s="3153">
        <v>2</v>
      </c>
      <c r="D354" s="3153">
        <v>101</v>
      </c>
      <c r="E354" s="3153">
        <v>183.22</v>
      </c>
      <c r="F354" s="3153">
        <f t="shared" si="30"/>
        <v>636.79999999999995</v>
      </c>
      <c r="G354" s="3153">
        <f t="shared" si="32"/>
        <v>34756</v>
      </c>
      <c r="AF354" s="3152">
        <v>352</v>
      </c>
      <c r="AG354" s="3156" t="s">
        <v>3491</v>
      </c>
      <c r="AH354" s="3156" t="s">
        <v>3392</v>
      </c>
      <c r="AI354" s="3153">
        <v>1352</v>
      </c>
      <c r="AJ354" s="3153">
        <v>47.92</v>
      </c>
      <c r="AK354" s="3153">
        <f t="shared" si="31"/>
        <v>6.39</v>
      </c>
      <c r="AL354" s="3153">
        <f t="shared" si="33"/>
        <v>1333</v>
      </c>
    </row>
    <row r="355" spans="1:38" ht="14.25" thickBot="1">
      <c r="A355" s="3152">
        <v>353</v>
      </c>
      <c r="B355" s="3153" t="s">
        <v>3446</v>
      </c>
      <c r="C355" s="3153">
        <v>2</v>
      </c>
      <c r="D355" s="3153">
        <v>201</v>
      </c>
      <c r="E355" s="3153">
        <v>193.89</v>
      </c>
      <c r="F355" s="3153">
        <f t="shared" si="30"/>
        <v>673.9</v>
      </c>
      <c r="G355" s="3153">
        <f t="shared" si="32"/>
        <v>34756</v>
      </c>
      <c r="AF355" s="3152">
        <v>353</v>
      </c>
      <c r="AG355" s="3156" t="s">
        <v>3491</v>
      </c>
      <c r="AH355" s="3156" t="s">
        <v>3392</v>
      </c>
      <c r="AI355" s="3153">
        <v>1353</v>
      </c>
      <c r="AJ355" s="3153">
        <v>47.92</v>
      </c>
      <c r="AK355" s="3153">
        <f t="shared" si="31"/>
        <v>6.39</v>
      </c>
      <c r="AL355" s="3153">
        <f t="shared" si="33"/>
        <v>1333</v>
      </c>
    </row>
    <row r="356" spans="1:38" ht="14.25" thickBot="1">
      <c r="A356" s="3152">
        <v>354</v>
      </c>
      <c r="B356" s="3153" t="s">
        <v>3446</v>
      </c>
      <c r="C356" s="3153">
        <v>2</v>
      </c>
      <c r="D356" s="3153">
        <v>202</v>
      </c>
      <c r="E356" s="3153">
        <v>193.89</v>
      </c>
      <c r="F356" s="3153">
        <f t="shared" si="30"/>
        <v>673.9</v>
      </c>
      <c r="G356" s="3153">
        <f t="shared" si="32"/>
        <v>34756</v>
      </c>
      <c r="AF356" s="3152">
        <v>354</v>
      </c>
      <c r="AG356" s="3156" t="s">
        <v>3491</v>
      </c>
      <c r="AH356" s="3156" t="s">
        <v>3392</v>
      </c>
      <c r="AI356" s="3153">
        <v>1354</v>
      </c>
      <c r="AJ356" s="3153">
        <v>47.92</v>
      </c>
      <c r="AK356" s="3153">
        <f t="shared" si="31"/>
        <v>6.39</v>
      </c>
      <c r="AL356" s="3153">
        <f t="shared" si="33"/>
        <v>1333</v>
      </c>
    </row>
    <row r="357" spans="1:38" ht="14.25" thickBot="1">
      <c r="A357" s="3152">
        <v>355</v>
      </c>
      <c r="B357" s="3153" t="s">
        <v>3446</v>
      </c>
      <c r="C357" s="3153">
        <v>3</v>
      </c>
      <c r="D357" s="3153">
        <v>101</v>
      </c>
      <c r="E357" s="3153">
        <v>191.4</v>
      </c>
      <c r="F357" s="3153">
        <f t="shared" si="30"/>
        <v>665.2</v>
      </c>
      <c r="G357" s="3153">
        <f t="shared" si="32"/>
        <v>34756</v>
      </c>
      <c r="AF357" s="3152">
        <v>355</v>
      </c>
      <c r="AG357" s="3156" t="s">
        <v>3491</v>
      </c>
      <c r="AH357" s="3156" t="s">
        <v>3392</v>
      </c>
      <c r="AI357" s="3153">
        <v>1355</v>
      </c>
      <c r="AJ357" s="3153">
        <v>47.92</v>
      </c>
      <c r="AK357" s="3153">
        <f t="shared" si="31"/>
        <v>6.39</v>
      </c>
      <c r="AL357" s="3153">
        <f t="shared" si="33"/>
        <v>1333</v>
      </c>
    </row>
    <row r="358" spans="1:38" ht="14.25" thickBot="1">
      <c r="A358" s="3152">
        <v>356</v>
      </c>
      <c r="B358" s="3153" t="s">
        <v>3446</v>
      </c>
      <c r="C358" s="3153">
        <v>3</v>
      </c>
      <c r="D358" s="3153">
        <v>201</v>
      </c>
      <c r="E358" s="3153">
        <v>193.89</v>
      </c>
      <c r="F358" s="3153">
        <f t="shared" si="30"/>
        <v>673.9</v>
      </c>
      <c r="G358" s="3153">
        <f t="shared" si="32"/>
        <v>34756</v>
      </c>
      <c r="AF358" s="3152">
        <v>356</v>
      </c>
      <c r="AG358" s="3156" t="s">
        <v>3491</v>
      </c>
      <c r="AH358" s="3156" t="s">
        <v>3392</v>
      </c>
      <c r="AI358" s="3153">
        <v>1356</v>
      </c>
      <c r="AJ358" s="3153">
        <v>47.92</v>
      </c>
      <c r="AK358" s="3153">
        <f t="shared" si="31"/>
        <v>6.39</v>
      </c>
      <c r="AL358" s="3153">
        <f t="shared" si="33"/>
        <v>1333</v>
      </c>
    </row>
    <row r="359" spans="1:38" ht="14.25" thickBot="1">
      <c r="A359" s="3152">
        <v>357</v>
      </c>
      <c r="B359" s="3153" t="s">
        <v>3446</v>
      </c>
      <c r="C359" s="3153">
        <v>3</v>
      </c>
      <c r="D359" s="3153">
        <v>202</v>
      </c>
      <c r="E359" s="3153">
        <v>210.67</v>
      </c>
      <c r="F359" s="3153">
        <f t="shared" si="30"/>
        <v>732.2</v>
      </c>
      <c r="G359" s="3153">
        <f t="shared" si="32"/>
        <v>34756</v>
      </c>
      <c r="AF359" s="3152">
        <v>357</v>
      </c>
      <c r="AG359" s="3156" t="s">
        <v>3491</v>
      </c>
      <c r="AH359" s="3156" t="s">
        <v>3392</v>
      </c>
      <c r="AI359" s="3153">
        <v>1357</v>
      </c>
      <c r="AJ359" s="3153">
        <v>47.92</v>
      </c>
      <c r="AK359" s="3153">
        <f t="shared" si="31"/>
        <v>6.39</v>
      </c>
      <c r="AL359" s="3153">
        <f t="shared" si="33"/>
        <v>1333</v>
      </c>
    </row>
    <row r="360" spans="1:38" ht="14.25" thickBot="1">
      <c r="A360" s="3152">
        <v>358</v>
      </c>
      <c r="B360" s="3153" t="s">
        <v>3447</v>
      </c>
      <c r="C360" s="3153">
        <v>1</v>
      </c>
      <c r="D360" s="3153">
        <v>101</v>
      </c>
      <c r="E360" s="3153">
        <v>191.15</v>
      </c>
      <c r="F360" s="3153">
        <f t="shared" si="30"/>
        <v>664.4</v>
      </c>
      <c r="G360" s="3153">
        <f t="shared" si="32"/>
        <v>34756</v>
      </c>
      <c r="AF360" s="3152">
        <v>358</v>
      </c>
      <c r="AG360" s="3156" t="s">
        <v>3491</v>
      </c>
      <c r="AH360" s="3156" t="s">
        <v>3392</v>
      </c>
      <c r="AI360" s="3153">
        <v>1358</v>
      </c>
      <c r="AJ360" s="3153">
        <v>47.92</v>
      </c>
      <c r="AK360" s="3153">
        <f t="shared" si="31"/>
        <v>6.39</v>
      </c>
      <c r="AL360" s="3153">
        <f t="shared" si="33"/>
        <v>1333</v>
      </c>
    </row>
    <row r="361" spans="1:38" ht="14.25" thickBot="1">
      <c r="A361" s="3152">
        <v>359</v>
      </c>
      <c r="B361" s="3153" t="s">
        <v>3447</v>
      </c>
      <c r="C361" s="3153">
        <v>1</v>
      </c>
      <c r="D361" s="3153">
        <v>201</v>
      </c>
      <c r="E361" s="3153">
        <v>210.44</v>
      </c>
      <c r="F361" s="3153">
        <f t="shared" si="30"/>
        <v>731.4</v>
      </c>
      <c r="G361" s="3153">
        <f t="shared" si="32"/>
        <v>34756</v>
      </c>
      <c r="AF361" s="3152">
        <v>359</v>
      </c>
      <c r="AG361" s="3156" t="s">
        <v>3491</v>
      </c>
      <c r="AH361" s="3156" t="s">
        <v>3392</v>
      </c>
      <c r="AI361" s="3153">
        <v>1359</v>
      </c>
      <c r="AJ361" s="3153">
        <v>47.92</v>
      </c>
      <c r="AK361" s="3153">
        <f t="shared" si="31"/>
        <v>6.39</v>
      </c>
      <c r="AL361" s="3153">
        <f t="shared" si="33"/>
        <v>1333</v>
      </c>
    </row>
    <row r="362" spans="1:38" ht="14.25" thickBot="1">
      <c r="A362" s="3152">
        <v>360</v>
      </c>
      <c r="B362" s="3153" t="s">
        <v>3447</v>
      </c>
      <c r="C362" s="3153">
        <v>1</v>
      </c>
      <c r="D362" s="3153">
        <v>202</v>
      </c>
      <c r="E362" s="3153">
        <v>193.68</v>
      </c>
      <c r="F362" s="3153">
        <f t="shared" si="30"/>
        <v>673.2</v>
      </c>
      <c r="G362" s="3153">
        <f t="shared" si="32"/>
        <v>34756</v>
      </c>
      <c r="AF362" s="3152">
        <v>360</v>
      </c>
      <c r="AG362" s="3156" t="s">
        <v>3491</v>
      </c>
      <c r="AH362" s="3156" t="s">
        <v>3392</v>
      </c>
      <c r="AI362" s="3153">
        <v>1360</v>
      </c>
      <c r="AJ362" s="3153">
        <v>47.92</v>
      </c>
      <c r="AK362" s="3153">
        <f t="shared" si="31"/>
        <v>6.39</v>
      </c>
      <c r="AL362" s="3153">
        <f t="shared" si="33"/>
        <v>1333</v>
      </c>
    </row>
    <row r="363" spans="1:38" ht="14.25" thickBot="1">
      <c r="A363" s="3152">
        <v>361</v>
      </c>
      <c r="B363" s="3153" t="s">
        <v>3447</v>
      </c>
      <c r="C363" s="3153">
        <v>2</v>
      </c>
      <c r="D363" s="3153">
        <v>101</v>
      </c>
      <c r="E363" s="3153">
        <v>182.98</v>
      </c>
      <c r="F363" s="3153">
        <f t="shared" si="30"/>
        <v>636</v>
      </c>
      <c r="G363" s="3153">
        <f t="shared" si="32"/>
        <v>34756</v>
      </c>
      <c r="AF363" s="3152">
        <v>361</v>
      </c>
      <c r="AG363" s="3156" t="s">
        <v>3491</v>
      </c>
      <c r="AH363" s="3156" t="s">
        <v>3392</v>
      </c>
      <c r="AI363" s="3153">
        <v>1361</v>
      </c>
      <c r="AJ363" s="3153">
        <v>47.92</v>
      </c>
      <c r="AK363" s="3153">
        <f t="shared" si="31"/>
        <v>6.39</v>
      </c>
      <c r="AL363" s="3153">
        <f t="shared" si="33"/>
        <v>1333</v>
      </c>
    </row>
    <row r="364" spans="1:38" ht="14.25" thickBot="1">
      <c r="A364" s="3152">
        <v>362</v>
      </c>
      <c r="B364" s="3153" t="s">
        <v>3447</v>
      </c>
      <c r="C364" s="3153">
        <v>2</v>
      </c>
      <c r="D364" s="3153">
        <v>201</v>
      </c>
      <c r="E364" s="3153">
        <v>193.68</v>
      </c>
      <c r="F364" s="3153">
        <f t="shared" si="30"/>
        <v>673.2</v>
      </c>
      <c r="G364" s="3153">
        <f t="shared" si="32"/>
        <v>34756</v>
      </c>
      <c r="AF364" s="3152">
        <v>362</v>
      </c>
      <c r="AG364" s="3156" t="s">
        <v>3491</v>
      </c>
      <c r="AH364" s="3156" t="s">
        <v>3392</v>
      </c>
      <c r="AI364" s="3153">
        <v>1362</v>
      </c>
      <c r="AJ364" s="3153">
        <v>47.92</v>
      </c>
      <c r="AK364" s="3153">
        <f t="shared" si="31"/>
        <v>6.39</v>
      </c>
      <c r="AL364" s="3153">
        <f t="shared" si="33"/>
        <v>1333</v>
      </c>
    </row>
    <row r="365" spans="1:38" ht="14.25" thickBot="1">
      <c r="A365" s="3152">
        <v>363</v>
      </c>
      <c r="B365" s="3153" t="s">
        <v>3447</v>
      </c>
      <c r="C365" s="3153">
        <v>2</v>
      </c>
      <c r="D365" s="3153">
        <v>202</v>
      </c>
      <c r="E365" s="3153">
        <v>193.68</v>
      </c>
      <c r="F365" s="3153">
        <f t="shared" si="30"/>
        <v>673.2</v>
      </c>
      <c r="G365" s="3153">
        <f t="shared" si="32"/>
        <v>34756</v>
      </c>
      <c r="AF365" s="3152">
        <v>363</v>
      </c>
      <c r="AG365" s="3156" t="s">
        <v>3491</v>
      </c>
      <c r="AH365" s="3156" t="s">
        <v>3392</v>
      </c>
      <c r="AI365" s="3153">
        <v>1363</v>
      </c>
      <c r="AJ365" s="3153">
        <v>47.92</v>
      </c>
      <c r="AK365" s="3153">
        <f t="shared" si="31"/>
        <v>6.39</v>
      </c>
      <c r="AL365" s="3153">
        <f t="shared" si="33"/>
        <v>1333</v>
      </c>
    </row>
    <row r="366" spans="1:38" ht="14.25" thickBot="1">
      <c r="A366" s="3152">
        <v>364</v>
      </c>
      <c r="B366" s="3153" t="s">
        <v>3447</v>
      </c>
      <c r="C366" s="3153">
        <v>3</v>
      </c>
      <c r="D366" s="3153">
        <v>101</v>
      </c>
      <c r="E366" s="3153">
        <v>182.98</v>
      </c>
      <c r="F366" s="3153">
        <f t="shared" si="30"/>
        <v>636</v>
      </c>
      <c r="G366" s="3153">
        <f t="shared" si="32"/>
        <v>34756</v>
      </c>
      <c r="AF366" s="3152">
        <v>364</v>
      </c>
      <c r="AG366" s="3156" t="s">
        <v>3491</v>
      </c>
      <c r="AH366" s="3156" t="s">
        <v>3392</v>
      </c>
      <c r="AI366" s="3153">
        <v>1364</v>
      </c>
      <c r="AJ366" s="3153">
        <v>47.92</v>
      </c>
      <c r="AK366" s="3153">
        <f t="shared" si="31"/>
        <v>6.39</v>
      </c>
      <c r="AL366" s="3153">
        <f t="shared" si="33"/>
        <v>1333</v>
      </c>
    </row>
    <row r="367" spans="1:38" ht="14.25" thickBot="1">
      <c r="A367" s="3152">
        <v>365</v>
      </c>
      <c r="B367" s="3153" t="s">
        <v>3447</v>
      </c>
      <c r="C367" s="3153">
        <v>3</v>
      </c>
      <c r="D367" s="3153">
        <v>201</v>
      </c>
      <c r="E367" s="3153">
        <v>193.68</v>
      </c>
      <c r="F367" s="3153">
        <f t="shared" si="30"/>
        <v>673.2</v>
      </c>
      <c r="G367" s="3153">
        <f t="shared" si="32"/>
        <v>34756</v>
      </c>
      <c r="AF367" s="3152">
        <v>365</v>
      </c>
      <c r="AG367" s="3156" t="s">
        <v>3491</v>
      </c>
      <c r="AH367" s="3156" t="s">
        <v>3392</v>
      </c>
      <c r="AI367" s="3153">
        <v>1365</v>
      </c>
      <c r="AJ367" s="3153">
        <v>47.92</v>
      </c>
      <c r="AK367" s="3153">
        <f t="shared" si="31"/>
        <v>6.39</v>
      </c>
      <c r="AL367" s="3153">
        <f t="shared" si="33"/>
        <v>1333</v>
      </c>
    </row>
    <row r="368" spans="1:38" ht="14.25" thickBot="1">
      <c r="A368" s="3152">
        <v>366</v>
      </c>
      <c r="B368" s="3153" t="s">
        <v>3447</v>
      </c>
      <c r="C368" s="3153">
        <v>3</v>
      </c>
      <c r="D368" s="3153">
        <v>202</v>
      </c>
      <c r="E368" s="3153">
        <v>193.68</v>
      </c>
      <c r="F368" s="3153">
        <f t="shared" si="30"/>
        <v>673.2</v>
      </c>
      <c r="G368" s="3153">
        <f t="shared" si="32"/>
        <v>34756</v>
      </c>
      <c r="AF368" s="3152">
        <v>366</v>
      </c>
      <c r="AG368" s="3156" t="s">
        <v>3491</v>
      </c>
      <c r="AH368" s="3156" t="s">
        <v>3392</v>
      </c>
      <c r="AI368" s="3153">
        <v>1366</v>
      </c>
      <c r="AJ368" s="3153">
        <v>47.92</v>
      </c>
      <c r="AK368" s="3153">
        <f t="shared" si="31"/>
        <v>6.39</v>
      </c>
      <c r="AL368" s="3153">
        <f t="shared" si="33"/>
        <v>1333</v>
      </c>
    </row>
    <row r="369" spans="1:38" ht="14.25" thickBot="1">
      <c r="A369" s="3152">
        <v>367</v>
      </c>
      <c r="B369" s="3153" t="s">
        <v>3447</v>
      </c>
      <c r="C369" s="3153">
        <v>4</v>
      </c>
      <c r="D369" s="3153">
        <v>101</v>
      </c>
      <c r="E369" s="3153">
        <v>191.15</v>
      </c>
      <c r="F369" s="3153">
        <f t="shared" si="30"/>
        <v>664.4</v>
      </c>
      <c r="G369" s="3153">
        <f t="shared" si="32"/>
        <v>34756</v>
      </c>
      <c r="AF369" s="3152">
        <v>367</v>
      </c>
      <c r="AG369" s="3156" t="s">
        <v>3491</v>
      </c>
      <c r="AH369" s="3156" t="s">
        <v>3392</v>
      </c>
      <c r="AI369" s="3153">
        <v>1367</v>
      </c>
      <c r="AJ369" s="3153">
        <v>47.92</v>
      </c>
      <c r="AK369" s="3153">
        <f t="shared" si="31"/>
        <v>6.39</v>
      </c>
      <c r="AL369" s="3153">
        <f t="shared" si="33"/>
        <v>1333</v>
      </c>
    </row>
    <row r="370" spans="1:38" ht="14.25" thickBot="1">
      <c r="A370" s="3152">
        <v>368</v>
      </c>
      <c r="B370" s="3153" t="s">
        <v>3447</v>
      </c>
      <c r="C370" s="3153">
        <v>4</v>
      </c>
      <c r="D370" s="3153">
        <v>201</v>
      </c>
      <c r="E370" s="3153">
        <v>193.68</v>
      </c>
      <c r="F370" s="3153">
        <f t="shared" si="30"/>
        <v>673.2</v>
      </c>
      <c r="G370" s="3153">
        <f t="shared" si="32"/>
        <v>34756</v>
      </c>
      <c r="AF370" s="3152">
        <v>368</v>
      </c>
      <c r="AG370" s="3156" t="s">
        <v>3491</v>
      </c>
      <c r="AH370" s="3156" t="s">
        <v>3392</v>
      </c>
      <c r="AI370" s="3153">
        <v>1368</v>
      </c>
      <c r="AJ370" s="3153">
        <v>47.92</v>
      </c>
      <c r="AK370" s="3153">
        <f t="shared" si="31"/>
        <v>6.39</v>
      </c>
      <c r="AL370" s="3153">
        <f t="shared" si="33"/>
        <v>1333</v>
      </c>
    </row>
    <row r="371" spans="1:38" ht="14.25" thickBot="1">
      <c r="A371" s="3152">
        <v>369</v>
      </c>
      <c r="B371" s="3153" t="s">
        <v>3447</v>
      </c>
      <c r="C371" s="3153">
        <v>4</v>
      </c>
      <c r="D371" s="3153">
        <v>202</v>
      </c>
      <c r="E371" s="3153">
        <v>210.44</v>
      </c>
      <c r="F371" s="3153">
        <f t="shared" si="30"/>
        <v>731.4</v>
      </c>
      <c r="G371" s="3153">
        <f t="shared" si="32"/>
        <v>34756</v>
      </c>
      <c r="AF371" s="3152">
        <v>369</v>
      </c>
      <c r="AG371" s="3156" t="s">
        <v>3491</v>
      </c>
      <c r="AH371" s="3156" t="s">
        <v>3392</v>
      </c>
      <c r="AI371" s="3153">
        <v>1369</v>
      </c>
      <c r="AJ371" s="3153">
        <v>47.92</v>
      </c>
      <c r="AK371" s="3153">
        <f t="shared" si="31"/>
        <v>6.39</v>
      </c>
      <c r="AL371" s="3153">
        <f t="shared" si="33"/>
        <v>1333</v>
      </c>
    </row>
    <row r="372" spans="1:38" ht="14.25" thickBot="1">
      <c r="A372" s="3152">
        <v>370</v>
      </c>
      <c r="B372" s="3153" t="s">
        <v>3448</v>
      </c>
      <c r="C372" s="3153">
        <v>1</v>
      </c>
      <c r="D372" s="3153">
        <v>101</v>
      </c>
      <c r="E372" s="3153">
        <v>191.4</v>
      </c>
      <c r="F372" s="3153">
        <f t="shared" si="30"/>
        <v>665.2</v>
      </c>
      <c r="G372" s="3153">
        <f t="shared" si="32"/>
        <v>34756</v>
      </c>
      <c r="AF372" s="3152">
        <v>370</v>
      </c>
      <c r="AG372" s="3156" t="s">
        <v>3491</v>
      </c>
      <c r="AH372" s="3156" t="s">
        <v>3392</v>
      </c>
      <c r="AI372" s="3153">
        <v>1370</v>
      </c>
      <c r="AJ372" s="3153">
        <v>47.92</v>
      </c>
      <c r="AK372" s="3153">
        <f t="shared" si="31"/>
        <v>6.39</v>
      </c>
      <c r="AL372" s="3153">
        <f t="shared" si="33"/>
        <v>1333</v>
      </c>
    </row>
    <row r="373" spans="1:38" ht="14.25" thickBot="1">
      <c r="A373" s="3152">
        <v>371</v>
      </c>
      <c r="B373" s="3153" t="s">
        <v>3448</v>
      </c>
      <c r="C373" s="3153">
        <v>1</v>
      </c>
      <c r="D373" s="3153">
        <v>201</v>
      </c>
      <c r="E373" s="3153">
        <v>210.67</v>
      </c>
      <c r="F373" s="3153">
        <f t="shared" si="30"/>
        <v>732.2</v>
      </c>
      <c r="G373" s="3153">
        <f t="shared" si="32"/>
        <v>34756</v>
      </c>
      <c r="AF373" s="3152">
        <v>371</v>
      </c>
      <c r="AG373" s="3156" t="s">
        <v>3491</v>
      </c>
      <c r="AH373" s="3156" t="s">
        <v>3392</v>
      </c>
      <c r="AI373" s="3153">
        <v>1371</v>
      </c>
      <c r="AJ373" s="3153">
        <v>47.92</v>
      </c>
      <c r="AK373" s="3153">
        <f t="shared" si="31"/>
        <v>6.39</v>
      </c>
      <c r="AL373" s="3153">
        <f t="shared" si="33"/>
        <v>1333</v>
      </c>
    </row>
    <row r="374" spans="1:38" ht="14.25" thickBot="1">
      <c r="A374" s="3152">
        <v>372</v>
      </c>
      <c r="B374" s="3153" t="s">
        <v>3448</v>
      </c>
      <c r="C374" s="3153">
        <v>1</v>
      </c>
      <c r="D374" s="3153">
        <v>202</v>
      </c>
      <c r="E374" s="3153">
        <v>193.89</v>
      </c>
      <c r="F374" s="3153">
        <f t="shared" si="30"/>
        <v>673.9</v>
      </c>
      <c r="G374" s="3153">
        <f t="shared" si="32"/>
        <v>34756</v>
      </c>
      <c r="AF374" s="3152">
        <v>372</v>
      </c>
      <c r="AG374" s="3156" t="s">
        <v>3491</v>
      </c>
      <c r="AH374" s="3156" t="s">
        <v>3392</v>
      </c>
      <c r="AI374" s="3153">
        <v>1372</v>
      </c>
      <c r="AJ374" s="3153">
        <v>47.92</v>
      </c>
      <c r="AK374" s="3153">
        <f t="shared" si="31"/>
        <v>6.39</v>
      </c>
      <c r="AL374" s="3153">
        <f t="shared" si="33"/>
        <v>1333</v>
      </c>
    </row>
    <row r="375" spans="1:38" ht="14.25" thickBot="1">
      <c r="A375" s="3152">
        <v>373</v>
      </c>
      <c r="B375" s="3153" t="s">
        <v>3448</v>
      </c>
      <c r="C375" s="3153">
        <v>2</v>
      </c>
      <c r="D375" s="3153">
        <v>101</v>
      </c>
      <c r="E375" s="3153">
        <v>183.22</v>
      </c>
      <c r="F375" s="3153">
        <f t="shared" si="30"/>
        <v>636.79999999999995</v>
      </c>
      <c r="G375" s="3153">
        <f t="shared" si="32"/>
        <v>34756</v>
      </c>
      <c r="AF375" s="3152">
        <v>373</v>
      </c>
      <c r="AG375" s="3156" t="s">
        <v>3491</v>
      </c>
      <c r="AH375" s="3156" t="s">
        <v>3392</v>
      </c>
      <c r="AI375" s="3153">
        <v>1373</v>
      </c>
      <c r="AJ375" s="3153">
        <v>47.92</v>
      </c>
      <c r="AK375" s="3153">
        <f t="shared" si="31"/>
        <v>6.39</v>
      </c>
      <c r="AL375" s="3153">
        <f t="shared" si="33"/>
        <v>1333</v>
      </c>
    </row>
    <row r="376" spans="1:38" ht="14.25" thickBot="1">
      <c r="A376" s="3152">
        <v>374</v>
      </c>
      <c r="B376" s="3153" t="s">
        <v>3448</v>
      </c>
      <c r="C376" s="3153">
        <v>2</v>
      </c>
      <c r="D376" s="3153">
        <v>201</v>
      </c>
      <c r="E376" s="3153">
        <v>193.89</v>
      </c>
      <c r="F376" s="3153">
        <f t="shared" si="30"/>
        <v>673.9</v>
      </c>
      <c r="G376" s="3153">
        <f t="shared" si="32"/>
        <v>34756</v>
      </c>
      <c r="AF376" s="3152">
        <v>374</v>
      </c>
      <c r="AG376" s="3156" t="s">
        <v>3491</v>
      </c>
      <c r="AH376" s="3156" t="s">
        <v>3392</v>
      </c>
      <c r="AI376" s="3153">
        <v>1374</v>
      </c>
      <c r="AJ376" s="3153">
        <v>47.92</v>
      </c>
      <c r="AK376" s="3153">
        <f t="shared" si="31"/>
        <v>6.39</v>
      </c>
      <c r="AL376" s="3153">
        <f t="shared" si="33"/>
        <v>1333</v>
      </c>
    </row>
    <row r="377" spans="1:38" ht="14.25" thickBot="1">
      <c r="A377" s="3152">
        <v>375</v>
      </c>
      <c r="B377" s="3153" t="s">
        <v>3448</v>
      </c>
      <c r="C377" s="3153">
        <v>2</v>
      </c>
      <c r="D377" s="3153">
        <v>202</v>
      </c>
      <c r="E377" s="3153">
        <v>193.89</v>
      </c>
      <c r="F377" s="3153">
        <f t="shared" si="30"/>
        <v>673.9</v>
      </c>
      <c r="G377" s="3153">
        <f t="shared" si="32"/>
        <v>34756</v>
      </c>
      <c r="AF377" s="3152">
        <v>375</v>
      </c>
      <c r="AG377" s="3156" t="s">
        <v>3491</v>
      </c>
      <c r="AH377" s="3156" t="s">
        <v>3392</v>
      </c>
      <c r="AI377" s="3153">
        <v>1375</v>
      </c>
      <c r="AJ377" s="3153">
        <v>47.92</v>
      </c>
      <c r="AK377" s="3153">
        <f t="shared" si="31"/>
        <v>6.39</v>
      </c>
      <c r="AL377" s="3153">
        <f t="shared" si="33"/>
        <v>1333</v>
      </c>
    </row>
    <row r="378" spans="1:38" ht="14.25" thickBot="1">
      <c r="A378" s="3152">
        <v>376</v>
      </c>
      <c r="B378" s="3153" t="s">
        <v>3448</v>
      </c>
      <c r="C378" s="3153">
        <v>3</v>
      </c>
      <c r="D378" s="3153">
        <v>101</v>
      </c>
      <c r="E378" s="3153">
        <v>191.4</v>
      </c>
      <c r="F378" s="3153">
        <f t="shared" si="30"/>
        <v>665.2</v>
      </c>
      <c r="G378" s="3153">
        <f t="shared" si="32"/>
        <v>34756</v>
      </c>
      <c r="AF378" s="3152">
        <v>376</v>
      </c>
      <c r="AG378" s="3156" t="s">
        <v>3491</v>
      </c>
      <c r="AH378" s="3156" t="s">
        <v>3392</v>
      </c>
      <c r="AI378" s="3153">
        <v>1376</v>
      </c>
      <c r="AJ378" s="3153">
        <v>47.92</v>
      </c>
      <c r="AK378" s="3153">
        <f t="shared" si="31"/>
        <v>6.39</v>
      </c>
      <c r="AL378" s="3153">
        <f t="shared" si="33"/>
        <v>1333</v>
      </c>
    </row>
    <row r="379" spans="1:38" ht="14.25" thickBot="1">
      <c r="A379" s="3152">
        <v>377</v>
      </c>
      <c r="B379" s="3153" t="s">
        <v>3448</v>
      </c>
      <c r="C379" s="3153">
        <v>3</v>
      </c>
      <c r="D379" s="3153">
        <v>201</v>
      </c>
      <c r="E379" s="3153">
        <v>193.89</v>
      </c>
      <c r="F379" s="3153">
        <f t="shared" si="30"/>
        <v>673.9</v>
      </c>
      <c r="G379" s="3153">
        <f t="shared" si="32"/>
        <v>34756</v>
      </c>
      <c r="AF379" s="3152">
        <v>377</v>
      </c>
      <c r="AG379" s="3156" t="s">
        <v>3491</v>
      </c>
      <c r="AH379" s="3156" t="s">
        <v>3392</v>
      </c>
      <c r="AI379" s="3153">
        <v>1377</v>
      </c>
      <c r="AJ379" s="3153">
        <v>47.92</v>
      </c>
      <c r="AK379" s="3153">
        <f t="shared" si="31"/>
        <v>6.39</v>
      </c>
      <c r="AL379" s="3153">
        <f t="shared" si="33"/>
        <v>1333</v>
      </c>
    </row>
    <row r="380" spans="1:38" ht="14.25" thickBot="1">
      <c r="A380" s="3152">
        <v>378</v>
      </c>
      <c r="B380" s="3153" t="s">
        <v>3448</v>
      </c>
      <c r="C380" s="3153">
        <v>3</v>
      </c>
      <c r="D380" s="3153">
        <v>202</v>
      </c>
      <c r="E380" s="3153">
        <v>210.67</v>
      </c>
      <c r="F380" s="3153">
        <f t="shared" si="30"/>
        <v>732.2</v>
      </c>
      <c r="G380" s="3153">
        <f t="shared" si="32"/>
        <v>34756</v>
      </c>
      <c r="AF380" s="3152">
        <v>378</v>
      </c>
      <c r="AG380" s="3156" t="s">
        <v>3491</v>
      </c>
      <c r="AH380" s="3156" t="s">
        <v>3392</v>
      </c>
      <c r="AI380" s="3153">
        <v>1378</v>
      </c>
      <c r="AJ380" s="3153">
        <v>47.92</v>
      </c>
      <c r="AK380" s="3153">
        <f t="shared" si="31"/>
        <v>6.39</v>
      </c>
      <c r="AL380" s="3153">
        <f t="shared" si="33"/>
        <v>1333</v>
      </c>
    </row>
    <row r="381" spans="1:38" ht="14.25" thickBot="1">
      <c r="A381" s="3152">
        <v>379</v>
      </c>
      <c r="B381" s="3153" t="s">
        <v>3449</v>
      </c>
      <c r="C381" s="3153">
        <v>1</v>
      </c>
      <c r="D381" s="3153">
        <v>101</v>
      </c>
      <c r="E381" s="3153">
        <v>191.4</v>
      </c>
      <c r="F381" s="3153">
        <f t="shared" si="30"/>
        <v>665.2</v>
      </c>
      <c r="G381" s="3153">
        <f t="shared" si="32"/>
        <v>34756</v>
      </c>
      <c r="AF381" s="3152">
        <v>379</v>
      </c>
      <c r="AG381" s="3156" t="s">
        <v>3491</v>
      </c>
      <c r="AH381" s="3156" t="s">
        <v>3392</v>
      </c>
      <c r="AI381" s="3153">
        <v>1379</v>
      </c>
      <c r="AJ381" s="3153">
        <v>47.92</v>
      </c>
      <c r="AK381" s="3153">
        <f t="shared" si="31"/>
        <v>6.39</v>
      </c>
      <c r="AL381" s="3153">
        <f t="shared" si="33"/>
        <v>1333</v>
      </c>
    </row>
    <row r="382" spans="1:38" ht="14.25" thickBot="1">
      <c r="A382" s="3152">
        <v>380</v>
      </c>
      <c r="B382" s="3153" t="s">
        <v>3449</v>
      </c>
      <c r="C382" s="3153">
        <v>1</v>
      </c>
      <c r="D382" s="3153">
        <v>201</v>
      </c>
      <c r="E382" s="3153">
        <v>210.67</v>
      </c>
      <c r="F382" s="3153">
        <f t="shared" si="30"/>
        <v>732.2</v>
      </c>
      <c r="G382" s="3153">
        <f t="shared" si="32"/>
        <v>34756</v>
      </c>
      <c r="AF382" s="3152">
        <v>380</v>
      </c>
      <c r="AG382" s="3156" t="s">
        <v>3491</v>
      </c>
      <c r="AH382" s="3156" t="s">
        <v>3392</v>
      </c>
      <c r="AI382" s="3153">
        <v>1380</v>
      </c>
      <c r="AJ382" s="3153">
        <v>47.92</v>
      </c>
      <c r="AK382" s="3153">
        <f t="shared" si="31"/>
        <v>6.39</v>
      </c>
      <c r="AL382" s="3153">
        <f t="shared" si="33"/>
        <v>1333</v>
      </c>
    </row>
    <row r="383" spans="1:38" ht="14.25" thickBot="1">
      <c r="A383" s="3152">
        <v>381</v>
      </c>
      <c r="B383" s="3153" t="s">
        <v>3449</v>
      </c>
      <c r="C383" s="3153">
        <v>1</v>
      </c>
      <c r="D383" s="3153">
        <v>202</v>
      </c>
      <c r="E383" s="3153">
        <v>193.89</v>
      </c>
      <c r="F383" s="3153">
        <f t="shared" si="30"/>
        <v>673.9</v>
      </c>
      <c r="G383" s="3153">
        <f t="shared" si="32"/>
        <v>34756</v>
      </c>
      <c r="AF383" s="3152">
        <v>381</v>
      </c>
      <c r="AG383" s="3156" t="s">
        <v>3491</v>
      </c>
      <c r="AH383" s="3156" t="s">
        <v>3392</v>
      </c>
      <c r="AI383" s="3153">
        <v>1381</v>
      </c>
      <c r="AJ383" s="3153">
        <v>47.92</v>
      </c>
      <c r="AK383" s="3153">
        <f t="shared" si="31"/>
        <v>6.39</v>
      </c>
      <c r="AL383" s="3153">
        <f t="shared" si="33"/>
        <v>1333</v>
      </c>
    </row>
    <row r="384" spans="1:38" ht="14.25" thickBot="1">
      <c r="A384" s="3152">
        <v>382</v>
      </c>
      <c r="B384" s="3153" t="s">
        <v>3449</v>
      </c>
      <c r="C384" s="3153">
        <v>2</v>
      </c>
      <c r="D384" s="3153">
        <v>101</v>
      </c>
      <c r="E384" s="3153">
        <v>183.22</v>
      </c>
      <c r="F384" s="3153">
        <f t="shared" si="30"/>
        <v>636.79999999999995</v>
      </c>
      <c r="G384" s="3153">
        <f t="shared" si="32"/>
        <v>34756</v>
      </c>
      <c r="AF384" s="3152">
        <v>382</v>
      </c>
      <c r="AG384" s="3156" t="s">
        <v>3491</v>
      </c>
      <c r="AH384" s="3156" t="s">
        <v>3392</v>
      </c>
      <c r="AI384" s="3153">
        <v>1382</v>
      </c>
      <c r="AJ384" s="3153">
        <v>47.92</v>
      </c>
      <c r="AK384" s="3153">
        <f t="shared" si="31"/>
        <v>6.39</v>
      </c>
      <c r="AL384" s="3153">
        <f t="shared" si="33"/>
        <v>1333</v>
      </c>
    </row>
    <row r="385" spans="1:38" ht="14.25" thickBot="1">
      <c r="A385" s="3152">
        <v>383</v>
      </c>
      <c r="B385" s="3153" t="s">
        <v>3449</v>
      </c>
      <c r="C385" s="3153">
        <v>2</v>
      </c>
      <c r="D385" s="3153">
        <v>201</v>
      </c>
      <c r="E385" s="3153">
        <v>193.89</v>
      </c>
      <c r="F385" s="3153">
        <f t="shared" si="30"/>
        <v>673.9</v>
      </c>
      <c r="G385" s="3153">
        <f t="shared" si="32"/>
        <v>34756</v>
      </c>
      <c r="AF385" s="3152">
        <v>383</v>
      </c>
      <c r="AG385" s="3156" t="s">
        <v>3491</v>
      </c>
      <c r="AH385" s="3156" t="s">
        <v>3392</v>
      </c>
      <c r="AI385" s="3153">
        <v>1383</v>
      </c>
      <c r="AJ385" s="3153">
        <v>47.92</v>
      </c>
      <c r="AK385" s="3153">
        <f t="shared" si="31"/>
        <v>6.39</v>
      </c>
      <c r="AL385" s="3153">
        <f t="shared" si="33"/>
        <v>1333</v>
      </c>
    </row>
    <row r="386" spans="1:38" ht="14.25" thickBot="1">
      <c r="A386" s="3152">
        <v>384</v>
      </c>
      <c r="B386" s="3153" t="s">
        <v>3449</v>
      </c>
      <c r="C386" s="3153">
        <v>2</v>
      </c>
      <c r="D386" s="3153">
        <v>202</v>
      </c>
      <c r="E386" s="3153">
        <v>193.89</v>
      </c>
      <c r="F386" s="3153">
        <f t="shared" si="30"/>
        <v>673.9</v>
      </c>
      <c r="G386" s="3153">
        <f t="shared" si="32"/>
        <v>34756</v>
      </c>
      <c r="AF386" s="3152">
        <v>384</v>
      </c>
      <c r="AG386" s="3156" t="s">
        <v>3491</v>
      </c>
      <c r="AH386" s="3156" t="s">
        <v>3392</v>
      </c>
      <c r="AI386" s="3153">
        <v>1384</v>
      </c>
      <c r="AJ386" s="3153">
        <v>47.92</v>
      </c>
      <c r="AK386" s="3153">
        <f t="shared" si="31"/>
        <v>6.39</v>
      </c>
      <c r="AL386" s="3153">
        <f t="shared" si="33"/>
        <v>1333</v>
      </c>
    </row>
    <row r="387" spans="1:38" ht="14.25" thickBot="1">
      <c r="A387" s="3152">
        <v>385</v>
      </c>
      <c r="B387" s="3153" t="s">
        <v>3449</v>
      </c>
      <c r="C387" s="3153">
        <v>3</v>
      </c>
      <c r="D387" s="3153">
        <v>101</v>
      </c>
      <c r="E387" s="3153">
        <v>191.4</v>
      </c>
      <c r="F387" s="3153">
        <f t="shared" si="30"/>
        <v>665.2</v>
      </c>
      <c r="G387" s="3153">
        <f t="shared" si="32"/>
        <v>34756</v>
      </c>
      <c r="AF387" s="3152">
        <v>385</v>
      </c>
      <c r="AG387" s="3156" t="s">
        <v>3491</v>
      </c>
      <c r="AH387" s="3156" t="s">
        <v>3392</v>
      </c>
      <c r="AI387" s="3153">
        <v>1385</v>
      </c>
      <c r="AJ387" s="3153">
        <v>47.92</v>
      </c>
      <c r="AK387" s="3153">
        <f t="shared" si="31"/>
        <v>6.39</v>
      </c>
      <c r="AL387" s="3153">
        <f t="shared" si="33"/>
        <v>1333</v>
      </c>
    </row>
    <row r="388" spans="1:38" ht="14.25" thickBot="1">
      <c r="A388" s="3152">
        <v>386</v>
      </c>
      <c r="B388" s="3153" t="s">
        <v>3449</v>
      </c>
      <c r="C388" s="3153">
        <v>3</v>
      </c>
      <c r="D388" s="3153">
        <v>201</v>
      </c>
      <c r="E388" s="3153">
        <v>193.89</v>
      </c>
      <c r="F388" s="3153">
        <f t="shared" ref="F388" si="34">ROUND(G388*E388/10000,1)</f>
        <v>673.9</v>
      </c>
      <c r="G388" s="3153">
        <f t="shared" si="32"/>
        <v>34756</v>
      </c>
      <c r="AF388" s="3152">
        <v>386</v>
      </c>
      <c r="AG388" s="3156" t="s">
        <v>3491</v>
      </c>
      <c r="AH388" s="3156" t="s">
        <v>3392</v>
      </c>
      <c r="AI388" s="3153">
        <v>1386</v>
      </c>
      <c r="AJ388" s="3153">
        <v>47.92</v>
      </c>
      <c r="AK388" s="3153">
        <f t="shared" ref="AK388:AK451" si="35">ROUND(AL388*AJ388/10000,2)</f>
        <v>6.39</v>
      </c>
      <c r="AL388" s="3153">
        <f t="shared" si="33"/>
        <v>1333</v>
      </c>
    </row>
    <row r="389" spans="1:38" ht="14.25" thickBot="1">
      <c r="A389" s="3152">
        <v>387</v>
      </c>
      <c r="B389" s="3153" t="s">
        <v>3449</v>
      </c>
      <c r="C389" s="3153">
        <v>3</v>
      </c>
      <c r="D389" s="3153">
        <v>202</v>
      </c>
      <c r="E389" s="3153">
        <v>210.67</v>
      </c>
      <c r="F389" s="3153">
        <f>测绘面积!F62-(SUM(拆分价值!F3:F388))</f>
        <v>729.49999999973807</v>
      </c>
      <c r="G389" s="3153">
        <f t="shared" ref="G389" si="36">G388</f>
        <v>34756</v>
      </c>
      <c r="AF389" s="3152">
        <v>387</v>
      </c>
      <c r="AG389" s="3156" t="s">
        <v>3491</v>
      </c>
      <c r="AH389" s="3156" t="s">
        <v>3392</v>
      </c>
      <c r="AI389" s="3153">
        <v>1387</v>
      </c>
      <c r="AJ389" s="3153">
        <v>47.92</v>
      </c>
      <c r="AK389" s="3153">
        <f t="shared" si="35"/>
        <v>6.39</v>
      </c>
      <c r="AL389" s="3153">
        <f t="shared" ref="AL389:AL452" si="37">AL388</f>
        <v>1333</v>
      </c>
    </row>
    <row r="390" spans="1:38" ht="14.25" thickBot="1">
      <c r="A390" s="3244" t="s">
        <v>3500</v>
      </c>
      <c r="B390" s="3245"/>
      <c r="C390" s="3245"/>
      <c r="D390" s="3246"/>
      <c r="E390" s="3157">
        <v>71770.12</v>
      </c>
      <c r="F390" s="3157">
        <f>SUM(F3:F389)</f>
        <v>249441</v>
      </c>
      <c r="G390" s="3160" t="s">
        <v>43</v>
      </c>
      <c r="AF390" s="3152">
        <v>388</v>
      </c>
      <c r="AG390" s="3156" t="s">
        <v>3491</v>
      </c>
      <c r="AH390" s="3156" t="s">
        <v>3392</v>
      </c>
      <c r="AI390" s="3153">
        <v>1388</v>
      </c>
      <c r="AJ390" s="3153">
        <v>47.92</v>
      </c>
      <c r="AK390" s="3153">
        <f t="shared" si="35"/>
        <v>6.39</v>
      </c>
      <c r="AL390" s="3153">
        <f t="shared" si="37"/>
        <v>1333</v>
      </c>
    </row>
    <row r="391" spans="1:38" ht="14.25" thickBot="1">
      <c r="AF391" s="3152">
        <v>389</v>
      </c>
      <c r="AG391" s="3156" t="s">
        <v>3491</v>
      </c>
      <c r="AH391" s="3156" t="s">
        <v>3392</v>
      </c>
      <c r="AI391" s="3153">
        <v>1389</v>
      </c>
      <c r="AJ391" s="3153">
        <v>47.92</v>
      </c>
      <c r="AK391" s="3153">
        <f t="shared" si="35"/>
        <v>6.39</v>
      </c>
      <c r="AL391" s="3153">
        <f t="shared" si="37"/>
        <v>1333</v>
      </c>
    </row>
    <row r="392" spans="1:38" ht="14.25" thickBot="1">
      <c r="D392" s="3159" t="s">
        <v>3501</v>
      </c>
      <c r="E392" s="3159">
        <v>71770.12</v>
      </c>
      <c r="F392" s="3159">
        <v>249542</v>
      </c>
      <c r="G392" s="3159">
        <v>34770</v>
      </c>
      <c r="AF392" s="3152">
        <v>390</v>
      </c>
      <c r="AG392" s="3156" t="s">
        <v>3491</v>
      </c>
      <c r="AH392" s="3156" t="s">
        <v>3392</v>
      </c>
      <c r="AI392" s="3153">
        <v>1390</v>
      </c>
      <c r="AJ392" s="3153">
        <v>47.92</v>
      </c>
      <c r="AK392" s="3153">
        <f t="shared" si="35"/>
        <v>6.39</v>
      </c>
      <c r="AL392" s="3153">
        <f t="shared" si="37"/>
        <v>1333</v>
      </c>
    </row>
    <row r="393" spans="1:38" ht="14.25" thickBot="1">
      <c r="AF393" s="3152">
        <v>391</v>
      </c>
      <c r="AG393" s="3156" t="s">
        <v>3491</v>
      </c>
      <c r="AH393" s="3156" t="s">
        <v>3392</v>
      </c>
      <c r="AI393" s="3153">
        <v>1391</v>
      </c>
      <c r="AJ393" s="3153">
        <v>47.92</v>
      </c>
      <c r="AK393" s="3153">
        <f t="shared" si="35"/>
        <v>6.39</v>
      </c>
      <c r="AL393" s="3153">
        <f t="shared" si="37"/>
        <v>1333</v>
      </c>
    </row>
    <row r="394" spans="1:38" ht="14.25" thickBot="1">
      <c r="AF394" s="3152">
        <v>392</v>
      </c>
      <c r="AG394" s="3156" t="s">
        <v>3491</v>
      </c>
      <c r="AH394" s="3156" t="s">
        <v>3392</v>
      </c>
      <c r="AI394" s="3153">
        <v>1392</v>
      </c>
      <c r="AJ394" s="3153">
        <v>47.92</v>
      </c>
      <c r="AK394" s="3153">
        <f t="shared" si="35"/>
        <v>6.39</v>
      </c>
      <c r="AL394" s="3153">
        <f t="shared" si="37"/>
        <v>1333</v>
      </c>
    </row>
    <row r="395" spans="1:38" ht="14.25" thickBot="1">
      <c r="AF395" s="3152">
        <v>393</v>
      </c>
      <c r="AG395" s="3156" t="s">
        <v>3491</v>
      </c>
      <c r="AH395" s="3156" t="s">
        <v>3392</v>
      </c>
      <c r="AI395" s="3153">
        <v>1393</v>
      </c>
      <c r="AJ395" s="3153">
        <v>47.92</v>
      </c>
      <c r="AK395" s="3153">
        <f t="shared" si="35"/>
        <v>6.39</v>
      </c>
      <c r="AL395" s="3153">
        <f t="shared" si="37"/>
        <v>1333</v>
      </c>
    </row>
    <row r="396" spans="1:38" ht="14.25" thickBot="1">
      <c r="AF396" s="3152">
        <v>394</v>
      </c>
      <c r="AG396" s="3156" t="s">
        <v>3491</v>
      </c>
      <c r="AH396" s="3156" t="s">
        <v>3392</v>
      </c>
      <c r="AI396" s="3153">
        <v>1394</v>
      </c>
      <c r="AJ396" s="3153">
        <v>47.92</v>
      </c>
      <c r="AK396" s="3153">
        <f t="shared" si="35"/>
        <v>6.39</v>
      </c>
      <c r="AL396" s="3153">
        <f t="shared" si="37"/>
        <v>1333</v>
      </c>
    </row>
    <row r="397" spans="1:38" ht="14.25" thickBot="1">
      <c r="AF397" s="3152">
        <v>395</v>
      </c>
      <c r="AG397" s="3156" t="s">
        <v>3491</v>
      </c>
      <c r="AH397" s="3156" t="s">
        <v>3392</v>
      </c>
      <c r="AI397" s="3153">
        <v>1395</v>
      </c>
      <c r="AJ397" s="3153">
        <v>47.92</v>
      </c>
      <c r="AK397" s="3153">
        <f t="shared" si="35"/>
        <v>6.39</v>
      </c>
      <c r="AL397" s="3153">
        <f t="shared" si="37"/>
        <v>1333</v>
      </c>
    </row>
    <row r="398" spans="1:38" ht="14.25" thickBot="1">
      <c r="AF398" s="3152">
        <v>396</v>
      </c>
      <c r="AG398" s="3156" t="s">
        <v>3491</v>
      </c>
      <c r="AH398" s="3156" t="s">
        <v>3392</v>
      </c>
      <c r="AI398" s="3153">
        <v>1396</v>
      </c>
      <c r="AJ398" s="3153">
        <v>47.92</v>
      </c>
      <c r="AK398" s="3153">
        <f t="shared" si="35"/>
        <v>6.39</v>
      </c>
      <c r="AL398" s="3153">
        <f t="shared" si="37"/>
        <v>1333</v>
      </c>
    </row>
    <row r="399" spans="1:38" ht="14.25" thickBot="1">
      <c r="AF399" s="3152">
        <v>397</v>
      </c>
      <c r="AG399" s="3156" t="s">
        <v>3491</v>
      </c>
      <c r="AH399" s="3156" t="s">
        <v>3392</v>
      </c>
      <c r="AI399" s="3153">
        <v>1397</v>
      </c>
      <c r="AJ399" s="3153">
        <v>47.92</v>
      </c>
      <c r="AK399" s="3153">
        <f t="shared" si="35"/>
        <v>6.39</v>
      </c>
      <c r="AL399" s="3153">
        <f t="shared" si="37"/>
        <v>1333</v>
      </c>
    </row>
    <row r="400" spans="1:38" ht="14.25" thickBot="1">
      <c r="AF400" s="3152">
        <v>398</v>
      </c>
      <c r="AG400" s="3156" t="s">
        <v>3491</v>
      </c>
      <c r="AH400" s="3156" t="s">
        <v>3392</v>
      </c>
      <c r="AI400" s="3153">
        <v>1398</v>
      </c>
      <c r="AJ400" s="3153">
        <v>47.92</v>
      </c>
      <c r="AK400" s="3153">
        <f t="shared" si="35"/>
        <v>6.39</v>
      </c>
      <c r="AL400" s="3153">
        <f t="shared" si="37"/>
        <v>1333</v>
      </c>
    </row>
    <row r="401" spans="32:38" ht="14.25" thickBot="1">
      <c r="AF401" s="3152">
        <v>399</v>
      </c>
      <c r="AG401" s="3156" t="s">
        <v>3491</v>
      </c>
      <c r="AH401" s="3156" t="s">
        <v>3392</v>
      </c>
      <c r="AI401" s="3153">
        <v>1399</v>
      </c>
      <c r="AJ401" s="3153">
        <v>47.92</v>
      </c>
      <c r="AK401" s="3153">
        <f t="shared" si="35"/>
        <v>6.39</v>
      </c>
      <c r="AL401" s="3153">
        <f t="shared" si="37"/>
        <v>1333</v>
      </c>
    </row>
    <row r="402" spans="32:38" ht="14.25" thickBot="1">
      <c r="AF402" s="3152">
        <v>400</v>
      </c>
      <c r="AG402" s="3156" t="s">
        <v>3491</v>
      </c>
      <c r="AH402" s="3156" t="s">
        <v>3392</v>
      </c>
      <c r="AI402" s="3153">
        <v>1400</v>
      </c>
      <c r="AJ402" s="3153">
        <v>47.92</v>
      </c>
      <c r="AK402" s="3153">
        <f t="shared" si="35"/>
        <v>6.39</v>
      </c>
      <c r="AL402" s="3153">
        <f t="shared" si="37"/>
        <v>1333</v>
      </c>
    </row>
    <row r="403" spans="32:38" ht="14.25" thickBot="1">
      <c r="AF403" s="3152">
        <v>401</v>
      </c>
      <c r="AG403" s="3156" t="s">
        <v>3491</v>
      </c>
      <c r="AH403" s="3156" t="s">
        <v>3392</v>
      </c>
      <c r="AI403" s="3153">
        <v>1401</v>
      </c>
      <c r="AJ403" s="3153">
        <v>47.92</v>
      </c>
      <c r="AK403" s="3153">
        <f t="shared" si="35"/>
        <v>6.39</v>
      </c>
      <c r="AL403" s="3153">
        <f t="shared" si="37"/>
        <v>1333</v>
      </c>
    </row>
    <row r="404" spans="32:38" ht="14.25" thickBot="1">
      <c r="AF404" s="3152">
        <v>402</v>
      </c>
      <c r="AG404" s="3156" t="s">
        <v>3491</v>
      </c>
      <c r="AH404" s="3156" t="s">
        <v>3392</v>
      </c>
      <c r="AI404" s="3153">
        <v>1402</v>
      </c>
      <c r="AJ404" s="3153">
        <v>47.92</v>
      </c>
      <c r="AK404" s="3153">
        <f t="shared" si="35"/>
        <v>6.39</v>
      </c>
      <c r="AL404" s="3153">
        <f t="shared" si="37"/>
        <v>1333</v>
      </c>
    </row>
    <row r="405" spans="32:38" ht="14.25" thickBot="1">
      <c r="AF405" s="3152">
        <v>403</v>
      </c>
      <c r="AG405" s="3156" t="s">
        <v>3491</v>
      </c>
      <c r="AH405" s="3156" t="s">
        <v>3392</v>
      </c>
      <c r="AI405" s="3153">
        <v>1403</v>
      </c>
      <c r="AJ405" s="3153">
        <v>47.92</v>
      </c>
      <c r="AK405" s="3153">
        <f t="shared" si="35"/>
        <v>6.39</v>
      </c>
      <c r="AL405" s="3153">
        <f t="shared" si="37"/>
        <v>1333</v>
      </c>
    </row>
    <row r="406" spans="32:38" ht="14.25" thickBot="1">
      <c r="AF406" s="3152">
        <v>404</v>
      </c>
      <c r="AG406" s="3156" t="s">
        <v>3491</v>
      </c>
      <c r="AH406" s="3156" t="s">
        <v>3392</v>
      </c>
      <c r="AI406" s="3153">
        <v>1404</v>
      </c>
      <c r="AJ406" s="3153">
        <v>47.92</v>
      </c>
      <c r="AK406" s="3153">
        <f t="shared" si="35"/>
        <v>6.39</v>
      </c>
      <c r="AL406" s="3153">
        <f t="shared" si="37"/>
        <v>1333</v>
      </c>
    </row>
    <row r="407" spans="32:38" ht="14.25" thickBot="1">
      <c r="AF407" s="3152">
        <v>405</v>
      </c>
      <c r="AG407" s="3156" t="s">
        <v>3491</v>
      </c>
      <c r="AH407" s="3156" t="s">
        <v>3392</v>
      </c>
      <c r="AI407" s="3153">
        <v>1405</v>
      </c>
      <c r="AJ407" s="3153">
        <v>47.92</v>
      </c>
      <c r="AK407" s="3153">
        <f t="shared" si="35"/>
        <v>6.39</v>
      </c>
      <c r="AL407" s="3153">
        <f t="shared" si="37"/>
        <v>1333</v>
      </c>
    </row>
    <row r="408" spans="32:38" ht="14.25" thickBot="1">
      <c r="AF408" s="3152">
        <v>406</v>
      </c>
      <c r="AG408" s="3156" t="s">
        <v>3491</v>
      </c>
      <c r="AH408" s="3156" t="s">
        <v>3392</v>
      </c>
      <c r="AI408" s="3153">
        <v>1406</v>
      </c>
      <c r="AJ408" s="3153">
        <v>47.92</v>
      </c>
      <c r="AK408" s="3153">
        <f t="shared" si="35"/>
        <v>6.39</v>
      </c>
      <c r="AL408" s="3153">
        <f t="shared" si="37"/>
        <v>1333</v>
      </c>
    </row>
    <row r="409" spans="32:38" ht="14.25" thickBot="1">
      <c r="AF409" s="3152">
        <v>407</v>
      </c>
      <c r="AG409" s="3156" t="s">
        <v>3491</v>
      </c>
      <c r="AH409" s="3156" t="s">
        <v>3392</v>
      </c>
      <c r="AI409" s="3153">
        <v>1407</v>
      </c>
      <c r="AJ409" s="3153">
        <v>47.92</v>
      </c>
      <c r="AK409" s="3153">
        <f t="shared" si="35"/>
        <v>6.39</v>
      </c>
      <c r="AL409" s="3153">
        <f t="shared" si="37"/>
        <v>1333</v>
      </c>
    </row>
    <row r="410" spans="32:38" ht="14.25" thickBot="1">
      <c r="AF410" s="3152">
        <v>408</v>
      </c>
      <c r="AG410" s="3156" t="s">
        <v>3491</v>
      </c>
      <c r="AH410" s="3156" t="s">
        <v>3392</v>
      </c>
      <c r="AI410" s="3153">
        <v>1408</v>
      </c>
      <c r="AJ410" s="3153">
        <v>47.92</v>
      </c>
      <c r="AK410" s="3153">
        <f t="shared" si="35"/>
        <v>6.39</v>
      </c>
      <c r="AL410" s="3153">
        <f t="shared" si="37"/>
        <v>1333</v>
      </c>
    </row>
    <row r="411" spans="32:38" ht="14.25" thickBot="1">
      <c r="AF411" s="3152">
        <v>409</v>
      </c>
      <c r="AG411" s="3156" t="s">
        <v>3491</v>
      </c>
      <c r="AH411" s="3156" t="s">
        <v>3392</v>
      </c>
      <c r="AI411" s="3153">
        <v>1409</v>
      </c>
      <c r="AJ411" s="3153">
        <v>47.92</v>
      </c>
      <c r="AK411" s="3153">
        <f t="shared" si="35"/>
        <v>6.39</v>
      </c>
      <c r="AL411" s="3153">
        <f t="shared" si="37"/>
        <v>1333</v>
      </c>
    </row>
    <row r="412" spans="32:38" ht="14.25" thickBot="1">
      <c r="AF412" s="3152">
        <v>410</v>
      </c>
      <c r="AG412" s="3156" t="s">
        <v>3491</v>
      </c>
      <c r="AH412" s="3156" t="s">
        <v>3392</v>
      </c>
      <c r="AI412" s="3153">
        <v>1410</v>
      </c>
      <c r="AJ412" s="3153">
        <v>47.92</v>
      </c>
      <c r="AK412" s="3153">
        <f t="shared" si="35"/>
        <v>6.39</v>
      </c>
      <c r="AL412" s="3153">
        <f t="shared" si="37"/>
        <v>1333</v>
      </c>
    </row>
    <row r="413" spans="32:38" ht="14.25" thickBot="1">
      <c r="AF413" s="3152">
        <v>411</v>
      </c>
      <c r="AG413" s="3156" t="s">
        <v>3491</v>
      </c>
      <c r="AH413" s="3156" t="s">
        <v>3392</v>
      </c>
      <c r="AI413" s="3153">
        <v>1411</v>
      </c>
      <c r="AJ413" s="3153">
        <v>47.92</v>
      </c>
      <c r="AK413" s="3153">
        <f t="shared" si="35"/>
        <v>6.39</v>
      </c>
      <c r="AL413" s="3153">
        <f t="shared" si="37"/>
        <v>1333</v>
      </c>
    </row>
    <row r="414" spans="32:38" ht="14.25" thickBot="1">
      <c r="AF414" s="3152">
        <v>412</v>
      </c>
      <c r="AG414" s="3156" t="s">
        <v>3491</v>
      </c>
      <c r="AH414" s="3156" t="s">
        <v>3392</v>
      </c>
      <c r="AI414" s="3153">
        <v>1412</v>
      </c>
      <c r="AJ414" s="3153">
        <v>47.92</v>
      </c>
      <c r="AK414" s="3153">
        <f t="shared" si="35"/>
        <v>6.39</v>
      </c>
      <c r="AL414" s="3153">
        <f t="shared" si="37"/>
        <v>1333</v>
      </c>
    </row>
    <row r="415" spans="32:38" ht="14.25" thickBot="1">
      <c r="AF415" s="3152">
        <v>413</v>
      </c>
      <c r="AG415" s="3156" t="s">
        <v>3491</v>
      </c>
      <c r="AH415" s="3156" t="s">
        <v>3392</v>
      </c>
      <c r="AI415" s="3153">
        <v>1413</v>
      </c>
      <c r="AJ415" s="3153">
        <v>47.92</v>
      </c>
      <c r="AK415" s="3153">
        <f t="shared" si="35"/>
        <v>6.39</v>
      </c>
      <c r="AL415" s="3153">
        <f t="shared" si="37"/>
        <v>1333</v>
      </c>
    </row>
    <row r="416" spans="32:38" ht="14.25" thickBot="1">
      <c r="AF416" s="3152">
        <v>414</v>
      </c>
      <c r="AG416" s="3156" t="s">
        <v>3491</v>
      </c>
      <c r="AH416" s="3156" t="s">
        <v>3392</v>
      </c>
      <c r="AI416" s="3153">
        <v>1414</v>
      </c>
      <c r="AJ416" s="3153">
        <v>47.92</v>
      </c>
      <c r="AK416" s="3153">
        <f t="shared" si="35"/>
        <v>6.39</v>
      </c>
      <c r="AL416" s="3153">
        <f t="shared" si="37"/>
        <v>1333</v>
      </c>
    </row>
    <row r="417" spans="32:38" ht="14.25" thickBot="1">
      <c r="AF417" s="3152">
        <v>415</v>
      </c>
      <c r="AG417" s="3156" t="s">
        <v>3491</v>
      </c>
      <c r="AH417" s="3156" t="s">
        <v>3392</v>
      </c>
      <c r="AI417" s="3153">
        <v>1415</v>
      </c>
      <c r="AJ417" s="3153">
        <v>47.92</v>
      </c>
      <c r="AK417" s="3153">
        <f t="shared" si="35"/>
        <v>6.39</v>
      </c>
      <c r="AL417" s="3153">
        <f t="shared" si="37"/>
        <v>1333</v>
      </c>
    </row>
    <row r="418" spans="32:38" ht="14.25" thickBot="1">
      <c r="AF418" s="3152">
        <v>416</v>
      </c>
      <c r="AG418" s="3156" t="s">
        <v>3491</v>
      </c>
      <c r="AH418" s="3156" t="s">
        <v>3392</v>
      </c>
      <c r="AI418" s="3153">
        <v>1416</v>
      </c>
      <c r="AJ418" s="3153">
        <v>47.92</v>
      </c>
      <c r="AK418" s="3153">
        <f t="shared" si="35"/>
        <v>6.39</v>
      </c>
      <c r="AL418" s="3153">
        <f t="shared" si="37"/>
        <v>1333</v>
      </c>
    </row>
    <row r="419" spans="32:38" ht="14.25" thickBot="1">
      <c r="AF419" s="3152">
        <v>417</v>
      </c>
      <c r="AG419" s="3156" t="s">
        <v>3491</v>
      </c>
      <c r="AH419" s="3156" t="s">
        <v>3392</v>
      </c>
      <c r="AI419" s="3153">
        <v>1417</v>
      </c>
      <c r="AJ419" s="3153">
        <v>47.92</v>
      </c>
      <c r="AK419" s="3153">
        <f t="shared" si="35"/>
        <v>6.39</v>
      </c>
      <c r="AL419" s="3153">
        <f t="shared" si="37"/>
        <v>1333</v>
      </c>
    </row>
    <row r="420" spans="32:38" ht="14.25" thickBot="1">
      <c r="AF420" s="3152">
        <v>418</v>
      </c>
      <c r="AG420" s="3156" t="s">
        <v>3491</v>
      </c>
      <c r="AH420" s="3156" t="s">
        <v>3392</v>
      </c>
      <c r="AI420" s="3153">
        <v>1418</v>
      </c>
      <c r="AJ420" s="3153">
        <v>47.92</v>
      </c>
      <c r="AK420" s="3153">
        <f t="shared" si="35"/>
        <v>6.39</v>
      </c>
      <c r="AL420" s="3153">
        <f t="shared" si="37"/>
        <v>1333</v>
      </c>
    </row>
    <row r="421" spans="32:38" ht="14.25" thickBot="1">
      <c r="AF421" s="3152">
        <v>419</v>
      </c>
      <c r="AG421" s="3156" t="s">
        <v>3491</v>
      </c>
      <c r="AH421" s="3156" t="s">
        <v>3392</v>
      </c>
      <c r="AI421" s="3153">
        <v>1419</v>
      </c>
      <c r="AJ421" s="3153">
        <v>47.92</v>
      </c>
      <c r="AK421" s="3153">
        <f t="shared" si="35"/>
        <v>6.39</v>
      </c>
      <c r="AL421" s="3153">
        <f t="shared" si="37"/>
        <v>1333</v>
      </c>
    </row>
    <row r="422" spans="32:38" ht="14.25" thickBot="1">
      <c r="AF422" s="3152">
        <v>420</v>
      </c>
      <c r="AG422" s="3156" t="s">
        <v>3491</v>
      </c>
      <c r="AH422" s="3156" t="s">
        <v>3392</v>
      </c>
      <c r="AI422" s="3153">
        <v>1420</v>
      </c>
      <c r="AJ422" s="3153">
        <v>47.92</v>
      </c>
      <c r="AK422" s="3153">
        <f t="shared" si="35"/>
        <v>6.39</v>
      </c>
      <c r="AL422" s="3153">
        <f t="shared" si="37"/>
        <v>1333</v>
      </c>
    </row>
    <row r="423" spans="32:38" ht="14.25" thickBot="1">
      <c r="AF423" s="3152">
        <v>421</v>
      </c>
      <c r="AG423" s="3156" t="s">
        <v>3491</v>
      </c>
      <c r="AH423" s="3156" t="s">
        <v>3392</v>
      </c>
      <c r="AI423" s="3153">
        <v>1421</v>
      </c>
      <c r="AJ423" s="3153">
        <v>47.92</v>
      </c>
      <c r="AK423" s="3153">
        <f t="shared" si="35"/>
        <v>6.39</v>
      </c>
      <c r="AL423" s="3153">
        <f t="shared" si="37"/>
        <v>1333</v>
      </c>
    </row>
    <row r="424" spans="32:38" ht="14.25" thickBot="1">
      <c r="AF424" s="3152">
        <v>422</v>
      </c>
      <c r="AG424" s="3156" t="s">
        <v>3491</v>
      </c>
      <c r="AH424" s="3156" t="s">
        <v>3392</v>
      </c>
      <c r="AI424" s="3153">
        <v>1422</v>
      </c>
      <c r="AJ424" s="3153">
        <v>47.92</v>
      </c>
      <c r="AK424" s="3153">
        <f t="shared" si="35"/>
        <v>6.39</v>
      </c>
      <c r="AL424" s="3153">
        <f t="shared" si="37"/>
        <v>1333</v>
      </c>
    </row>
    <row r="425" spans="32:38" ht="14.25" thickBot="1">
      <c r="AF425" s="3152">
        <v>423</v>
      </c>
      <c r="AG425" s="3156" t="s">
        <v>3491</v>
      </c>
      <c r="AH425" s="3156" t="s">
        <v>3392</v>
      </c>
      <c r="AI425" s="3153">
        <v>1423</v>
      </c>
      <c r="AJ425" s="3153">
        <v>47.92</v>
      </c>
      <c r="AK425" s="3153">
        <f t="shared" si="35"/>
        <v>6.39</v>
      </c>
      <c r="AL425" s="3153">
        <f t="shared" si="37"/>
        <v>1333</v>
      </c>
    </row>
    <row r="426" spans="32:38" ht="14.25" thickBot="1">
      <c r="AF426" s="3152">
        <v>424</v>
      </c>
      <c r="AG426" s="3156" t="s">
        <v>3491</v>
      </c>
      <c r="AH426" s="3156" t="s">
        <v>3392</v>
      </c>
      <c r="AI426" s="3153">
        <v>1424</v>
      </c>
      <c r="AJ426" s="3153">
        <v>47.92</v>
      </c>
      <c r="AK426" s="3153">
        <f t="shared" si="35"/>
        <v>6.39</v>
      </c>
      <c r="AL426" s="3153">
        <f t="shared" si="37"/>
        <v>1333</v>
      </c>
    </row>
    <row r="427" spans="32:38" ht="14.25" thickBot="1">
      <c r="AF427" s="3152">
        <v>425</v>
      </c>
      <c r="AG427" s="3156" t="s">
        <v>3491</v>
      </c>
      <c r="AH427" s="3156" t="s">
        <v>3392</v>
      </c>
      <c r="AI427" s="3153">
        <v>1425</v>
      </c>
      <c r="AJ427" s="3153">
        <v>47.92</v>
      </c>
      <c r="AK427" s="3153">
        <f t="shared" si="35"/>
        <v>6.39</v>
      </c>
      <c r="AL427" s="3153">
        <f t="shared" si="37"/>
        <v>1333</v>
      </c>
    </row>
    <row r="428" spans="32:38" ht="14.25" thickBot="1">
      <c r="AF428" s="3152">
        <v>426</v>
      </c>
      <c r="AG428" s="3156" t="s">
        <v>3491</v>
      </c>
      <c r="AH428" s="3156" t="s">
        <v>3392</v>
      </c>
      <c r="AI428" s="3153">
        <v>1426</v>
      </c>
      <c r="AJ428" s="3153">
        <v>47.92</v>
      </c>
      <c r="AK428" s="3153">
        <f t="shared" si="35"/>
        <v>6.39</v>
      </c>
      <c r="AL428" s="3153">
        <f t="shared" si="37"/>
        <v>1333</v>
      </c>
    </row>
    <row r="429" spans="32:38" ht="14.25" thickBot="1">
      <c r="AF429" s="3152">
        <v>427</v>
      </c>
      <c r="AG429" s="3156" t="s">
        <v>3491</v>
      </c>
      <c r="AH429" s="3156" t="s">
        <v>3392</v>
      </c>
      <c r="AI429" s="3153">
        <v>1427</v>
      </c>
      <c r="AJ429" s="3153">
        <v>47.92</v>
      </c>
      <c r="AK429" s="3153">
        <f t="shared" si="35"/>
        <v>6.39</v>
      </c>
      <c r="AL429" s="3153">
        <f t="shared" si="37"/>
        <v>1333</v>
      </c>
    </row>
    <row r="430" spans="32:38" ht="14.25" thickBot="1">
      <c r="AF430" s="3152">
        <v>428</v>
      </c>
      <c r="AG430" s="3156" t="s">
        <v>3491</v>
      </c>
      <c r="AH430" s="3156" t="s">
        <v>3392</v>
      </c>
      <c r="AI430" s="3153">
        <v>1428</v>
      </c>
      <c r="AJ430" s="3153">
        <v>47.92</v>
      </c>
      <c r="AK430" s="3153">
        <f t="shared" si="35"/>
        <v>6.39</v>
      </c>
      <c r="AL430" s="3153">
        <f t="shared" si="37"/>
        <v>1333</v>
      </c>
    </row>
    <row r="431" spans="32:38" ht="14.25" thickBot="1">
      <c r="AF431" s="3152">
        <v>429</v>
      </c>
      <c r="AG431" s="3156" t="s">
        <v>3491</v>
      </c>
      <c r="AH431" s="3156" t="s">
        <v>3392</v>
      </c>
      <c r="AI431" s="3153">
        <v>1429</v>
      </c>
      <c r="AJ431" s="3153">
        <v>47.92</v>
      </c>
      <c r="AK431" s="3153">
        <f t="shared" si="35"/>
        <v>6.39</v>
      </c>
      <c r="AL431" s="3153">
        <f t="shared" si="37"/>
        <v>1333</v>
      </c>
    </row>
    <row r="432" spans="32:38" ht="14.25" thickBot="1">
      <c r="AF432" s="3152">
        <v>430</v>
      </c>
      <c r="AG432" s="3156" t="s">
        <v>3491</v>
      </c>
      <c r="AH432" s="3156" t="s">
        <v>3392</v>
      </c>
      <c r="AI432" s="3153">
        <v>1430</v>
      </c>
      <c r="AJ432" s="3153">
        <v>47.92</v>
      </c>
      <c r="AK432" s="3153">
        <f t="shared" si="35"/>
        <v>6.39</v>
      </c>
      <c r="AL432" s="3153">
        <f t="shared" si="37"/>
        <v>1333</v>
      </c>
    </row>
    <row r="433" spans="32:38" ht="14.25" thickBot="1">
      <c r="AF433" s="3152">
        <v>431</v>
      </c>
      <c r="AG433" s="3156" t="s">
        <v>3491</v>
      </c>
      <c r="AH433" s="3156" t="s">
        <v>3392</v>
      </c>
      <c r="AI433" s="3153">
        <v>1431</v>
      </c>
      <c r="AJ433" s="3153">
        <v>47.92</v>
      </c>
      <c r="AK433" s="3153">
        <f t="shared" si="35"/>
        <v>6.39</v>
      </c>
      <c r="AL433" s="3153">
        <f t="shared" si="37"/>
        <v>1333</v>
      </c>
    </row>
    <row r="434" spans="32:38" ht="14.25" thickBot="1">
      <c r="AF434" s="3152">
        <v>432</v>
      </c>
      <c r="AG434" s="3156" t="s">
        <v>3491</v>
      </c>
      <c r="AH434" s="3156" t="s">
        <v>3392</v>
      </c>
      <c r="AI434" s="3153">
        <v>1432</v>
      </c>
      <c r="AJ434" s="3153">
        <v>47.92</v>
      </c>
      <c r="AK434" s="3153">
        <f t="shared" si="35"/>
        <v>6.39</v>
      </c>
      <c r="AL434" s="3153">
        <f t="shared" si="37"/>
        <v>1333</v>
      </c>
    </row>
    <row r="435" spans="32:38" ht="14.25" thickBot="1">
      <c r="AF435" s="3152">
        <v>433</v>
      </c>
      <c r="AG435" s="3156" t="s">
        <v>3491</v>
      </c>
      <c r="AH435" s="3156" t="s">
        <v>3392</v>
      </c>
      <c r="AI435" s="3153">
        <v>1433</v>
      </c>
      <c r="AJ435" s="3153">
        <v>47.92</v>
      </c>
      <c r="AK435" s="3153">
        <f t="shared" si="35"/>
        <v>6.39</v>
      </c>
      <c r="AL435" s="3153">
        <f t="shared" si="37"/>
        <v>1333</v>
      </c>
    </row>
    <row r="436" spans="32:38" ht="14.25" thickBot="1">
      <c r="AF436" s="3152">
        <v>434</v>
      </c>
      <c r="AG436" s="3156" t="s">
        <v>3491</v>
      </c>
      <c r="AH436" s="3156" t="s">
        <v>3392</v>
      </c>
      <c r="AI436" s="3153">
        <v>1434</v>
      </c>
      <c r="AJ436" s="3153">
        <v>47.92</v>
      </c>
      <c r="AK436" s="3153">
        <f t="shared" si="35"/>
        <v>6.39</v>
      </c>
      <c r="AL436" s="3153">
        <f t="shared" si="37"/>
        <v>1333</v>
      </c>
    </row>
    <row r="437" spans="32:38" ht="14.25" thickBot="1">
      <c r="AF437" s="3152">
        <v>435</v>
      </c>
      <c r="AG437" s="3156" t="s">
        <v>3491</v>
      </c>
      <c r="AH437" s="3156" t="s">
        <v>3392</v>
      </c>
      <c r="AI437" s="3153">
        <v>1435</v>
      </c>
      <c r="AJ437" s="3153">
        <v>47.92</v>
      </c>
      <c r="AK437" s="3153">
        <f t="shared" si="35"/>
        <v>6.39</v>
      </c>
      <c r="AL437" s="3153">
        <f t="shared" si="37"/>
        <v>1333</v>
      </c>
    </row>
    <row r="438" spans="32:38" ht="14.25" thickBot="1">
      <c r="AF438" s="3152">
        <v>436</v>
      </c>
      <c r="AG438" s="3156" t="s">
        <v>3491</v>
      </c>
      <c r="AH438" s="3156" t="s">
        <v>3392</v>
      </c>
      <c r="AI438" s="3153">
        <v>1436</v>
      </c>
      <c r="AJ438" s="3153">
        <v>47.92</v>
      </c>
      <c r="AK438" s="3153">
        <f t="shared" si="35"/>
        <v>6.39</v>
      </c>
      <c r="AL438" s="3153">
        <f t="shared" si="37"/>
        <v>1333</v>
      </c>
    </row>
    <row r="439" spans="32:38" ht="14.25" thickBot="1">
      <c r="AF439" s="3152">
        <v>437</v>
      </c>
      <c r="AG439" s="3156" t="s">
        <v>3491</v>
      </c>
      <c r="AH439" s="3156" t="s">
        <v>3392</v>
      </c>
      <c r="AI439" s="3153">
        <v>1437</v>
      </c>
      <c r="AJ439" s="3153">
        <v>47.92</v>
      </c>
      <c r="AK439" s="3153">
        <f t="shared" si="35"/>
        <v>6.39</v>
      </c>
      <c r="AL439" s="3153">
        <f t="shared" si="37"/>
        <v>1333</v>
      </c>
    </row>
    <row r="440" spans="32:38" ht="14.25" thickBot="1">
      <c r="AF440" s="3152">
        <v>438</v>
      </c>
      <c r="AG440" s="3156" t="s">
        <v>3491</v>
      </c>
      <c r="AH440" s="3156" t="s">
        <v>3392</v>
      </c>
      <c r="AI440" s="3153">
        <v>1438</v>
      </c>
      <c r="AJ440" s="3153">
        <v>47.92</v>
      </c>
      <c r="AK440" s="3153">
        <f t="shared" si="35"/>
        <v>6.39</v>
      </c>
      <c r="AL440" s="3153">
        <f t="shared" si="37"/>
        <v>1333</v>
      </c>
    </row>
    <row r="441" spans="32:38" ht="14.25" thickBot="1">
      <c r="AF441" s="3152">
        <v>439</v>
      </c>
      <c r="AG441" s="3156" t="s">
        <v>3491</v>
      </c>
      <c r="AH441" s="3156" t="s">
        <v>3392</v>
      </c>
      <c r="AI441" s="3153">
        <v>1439</v>
      </c>
      <c r="AJ441" s="3153">
        <v>47.92</v>
      </c>
      <c r="AK441" s="3153">
        <f t="shared" si="35"/>
        <v>6.39</v>
      </c>
      <c r="AL441" s="3153">
        <f t="shared" si="37"/>
        <v>1333</v>
      </c>
    </row>
    <row r="442" spans="32:38" ht="14.25" thickBot="1">
      <c r="AF442" s="3152">
        <v>440</v>
      </c>
      <c r="AG442" s="3156" t="s">
        <v>3491</v>
      </c>
      <c r="AH442" s="3156" t="s">
        <v>3392</v>
      </c>
      <c r="AI442" s="3153">
        <v>1440</v>
      </c>
      <c r="AJ442" s="3153">
        <v>47.92</v>
      </c>
      <c r="AK442" s="3153">
        <f t="shared" si="35"/>
        <v>6.39</v>
      </c>
      <c r="AL442" s="3153">
        <f t="shared" si="37"/>
        <v>1333</v>
      </c>
    </row>
    <row r="443" spans="32:38" ht="14.25" thickBot="1">
      <c r="AF443" s="3152">
        <v>441</v>
      </c>
      <c r="AG443" s="3156" t="s">
        <v>3491</v>
      </c>
      <c r="AH443" s="3156" t="s">
        <v>3392</v>
      </c>
      <c r="AI443" s="3153">
        <v>1441</v>
      </c>
      <c r="AJ443" s="3153">
        <v>47.92</v>
      </c>
      <c r="AK443" s="3153">
        <f t="shared" si="35"/>
        <v>6.39</v>
      </c>
      <c r="AL443" s="3153">
        <f t="shared" si="37"/>
        <v>1333</v>
      </c>
    </row>
    <row r="444" spans="32:38" ht="14.25" thickBot="1">
      <c r="AF444" s="3152">
        <v>442</v>
      </c>
      <c r="AG444" s="3156" t="s">
        <v>3491</v>
      </c>
      <c r="AH444" s="3156" t="s">
        <v>3392</v>
      </c>
      <c r="AI444" s="3153">
        <v>1442</v>
      </c>
      <c r="AJ444" s="3153">
        <v>47.92</v>
      </c>
      <c r="AK444" s="3153">
        <f t="shared" si="35"/>
        <v>6.39</v>
      </c>
      <c r="AL444" s="3153">
        <f t="shared" si="37"/>
        <v>1333</v>
      </c>
    </row>
    <row r="445" spans="32:38" ht="14.25" thickBot="1">
      <c r="AF445" s="3152">
        <v>443</v>
      </c>
      <c r="AG445" s="3156" t="s">
        <v>3491</v>
      </c>
      <c r="AH445" s="3156" t="s">
        <v>3392</v>
      </c>
      <c r="AI445" s="3153">
        <v>1443</v>
      </c>
      <c r="AJ445" s="3153">
        <v>47.92</v>
      </c>
      <c r="AK445" s="3153">
        <f t="shared" si="35"/>
        <v>6.39</v>
      </c>
      <c r="AL445" s="3153">
        <f t="shared" si="37"/>
        <v>1333</v>
      </c>
    </row>
    <row r="446" spans="32:38" ht="14.25" thickBot="1">
      <c r="AF446" s="3152">
        <v>444</v>
      </c>
      <c r="AG446" s="3156" t="s">
        <v>3491</v>
      </c>
      <c r="AH446" s="3156" t="s">
        <v>3392</v>
      </c>
      <c r="AI446" s="3153">
        <v>1444</v>
      </c>
      <c r="AJ446" s="3153">
        <v>47.92</v>
      </c>
      <c r="AK446" s="3153">
        <f t="shared" si="35"/>
        <v>6.39</v>
      </c>
      <c r="AL446" s="3153">
        <f t="shared" si="37"/>
        <v>1333</v>
      </c>
    </row>
    <row r="447" spans="32:38" ht="14.25" thickBot="1">
      <c r="AF447" s="3152">
        <v>445</v>
      </c>
      <c r="AG447" s="3156" t="s">
        <v>3491</v>
      </c>
      <c r="AH447" s="3156" t="s">
        <v>3392</v>
      </c>
      <c r="AI447" s="3153">
        <v>1445</v>
      </c>
      <c r="AJ447" s="3153">
        <v>47.92</v>
      </c>
      <c r="AK447" s="3153">
        <f t="shared" si="35"/>
        <v>6.39</v>
      </c>
      <c r="AL447" s="3153">
        <f t="shared" si="37"/>
        <v>1333</v>
      </c>
    </row>
    <row r="448" spans="32:38" ht="14.25" thickBot="1">
      <c r="AF448" s="3152">
        <v>446</v>
      </c>
      <c r="AG448" s="3156" t="s">
        <v>3491</v>
      </c>
      <c r="AH448" s="3156" t="s">
        <v>3392</v>
      </c>
      <c r="AI448" s="3153">
        <v>1446</v>
      </c>
      <c r="AJ448" s="3153">
        <v>47.92</v>
      </c>
      <c r="AK448" s="3153">
        <f t="shared" si="35"/>
        <v>6.39</v>
      </c>
      <c r="AL448" s="3153">
        <f t="shared" si="37"/>
        <v>1333</v>
      </c>
    </row>
    <row r="449" spans="32:38" ht="14.25" thickBot="1">
      <c r="AF449" s="3152">
        <v>447</v>
      </c>
      <c r="AG449" s="3156" t="s">
        <v>3491</v>
      </c>
      <c r="AH449" s="3156" t="s">
        <v>3392</v>
      </c>
      <c r="AI449" s="3153">
        <v>1447</v>
      </c>
      <c r="AJ449" s="3153">
        <v>47.92</v>
      </c>
      <c r="AK449" s="3153">
        <f t="shared" si="35"/>
        <v>6.39</v>
      </c>
      <c r="AL449" s="3153">
        <f t="shared" si="37"/>
        <v>1333</v>
      </c>
    </row>
    <row r="450" spans="32:38" ht="14.25" thickBot="1">
      <c r="AF450" s="3152">
        <v>448</v>
      </c>
      <c r="AG450" s="3156" t="s">
        <v>3491</v>
      </c>
      <c r="AH450" s="3156" t="s">
        <v>3392</v>
      </c>
      <c r="AI450" s="3153">
        <v>1448</v>
      </c>
      <c r="AJ450" s="3153">
        <v>47.92</v>
      </c>
      <c r="AK450" s="3153">
        <f t="shared" si="35"/>
        <v>6.39</v>
      </c>
      <c r="AL450" s="3153">
        <f t="shared" si="37"/>
        <v>1333</v>
      </c>
    </row>
    <row r="451" spans="32:38" ht="14.25" thickBot="1">
      <c r="AF451" s="3152">
        <v>449</v>
      </c>
      <c r="AG451" s="3156" t="s">
        <v>3491</v>
      </c>
      <c r="AH451" s="3156" t="s">
        <v>3392</v>
      </c>
      <c r="AI451" s="3153">
        <v>1449</v>
      </c>
      <c r="AJ451" s="3153">
        <v>47.92</v>
      </c>
      <c r="AK451" s="3153">
        <f t="shared" si="35"/>
        <v>6.39</v>
      </c>
      <c r="AL451" s="3153">
        <f t="shared" si="37"/>
        <v>1333</v>
      </c>
    </row>
    <row r="452" spans="32:38" ht="14.25" thickBot="1">
      <c r="AF452" s="3152">
        <v>450</v>
      </c>
      <c r="AG452" s="3156" t="s">
        <v>3491</v>
      </c>
      <c r="AH452" s="3156" t="s">
        <v>3392</v>
      </c>
      <c r="AI452" s="3153">
        <v>1450</v>
      </c>
      <c r="AJ452" s="3153">
        <v>47.92</v>
      </c>
      <c r="AK452" s="3153">
        <f t="shared" ref="AK452:AK500" si="38">ROUND(AL452*AJ452/10000,2)</f>
        <v>6.39</v>
      </c>
      <c r="AL452" s="3153">
        <f t="shared" si="37"/>
        <v>1333</v>
      </c>
    </row>
    <row r="453" spans="32:38" ht="14.25" thickBot="1">
      <c r="AF453" s="3152">
        <v>451</v>
      </c>
      <c r="AG453" s="3156" t="s">
        <v>3491</v>
      </c>
      <c r="AH453" s="3156" t="s">
        <v>3392</v>
      </c>
      <c r="AI453" s="3153">
        <v>1451</v>
      </c>
      <c r="AJ453" s="3153">
        <v>47.92</v>
      </c>
      <c r="AK453" s="3153">
        <f t="shared" si="38"/>
        <v>6.39</v>
      </c>
      <c r="AL453" s="3153">
        <f t="shared" ref="AL453:AL501" si="39">AL452</f>
        <v>1333</v>
      </c>
    </row>
    <row r="454" spans="32:38" ht="14.25" thickBot="1">
      <c r="AF454" s="3152">
        <v>452</v>
      </c>
      <c r="AG454" s="3156" t="s">
        <v>3491</v>
      </c>
      <c r="AH454" s="3156" t="s">
        <v>3392</v>
      </c>
      <c r="AI454" s="3153">
        <v>1452</v>
      </c>
      <c r="AJ454" s="3153">
        <v>47.92</v>
      </c>
      <c r="AK454" s="3153">
        <f t="shared" si="38"/>
        <v>6.39</v>
      </c>
      <c r="AL454" s="3153">
        <f t="shared" si="39"/>
        <v>1333</v>
      </c>
    </row>
    <row r="455" spans="32:38" ht="14.25" thickBot="1">
      <c r="AF455" s="3152">
        <v>453</v>
      </c>
      <c r="AG455" s="3156" t="s">
        <v>3491</v>
      </c>
      <c r="AH455" s="3156" t="s">
        <v>3392</v>
      </c>
      <c r="AI455" s="3153">
        <v>1453</v>
      </c>
      <c r="AJ455" s="3153">
        <v>47.92</v>
      </c>
      <c r="AK455" s="3153">
        <f t="shared" si="38"/>
        <v>6.39</v>
      </c>
      <c r="AL455" s="3153">
        <f t="shared" si="39"/>
        <v>1333</v>
      </c>
    </row>
    <row r="456" spans="32:38" ht="14.25" thickBot="1">
      <c r="AF456" s="3152">
        <v>454</v>
      </c>
      <c r="AG456" s="3156" t="s">
        <v>3491</v>
      </c>
      <c r="AH456" s="3156" t="s">
        <v>3392</v>
      </c>
      <c r="AI456" s="3153">
        <v>1454</v>
      </c>
      <c r="AJ456" s="3153">
        <v>47.92</v>
      </c>
      <c r="AK456" s="3153">
        <f t="shared" si="38"/>
        <v>6.39</v>
      </c>
      <c r="AL456" s="3153">
        <f t="shared" si="39"/>
        <v>1333</v>
      </c>
    </row>
    <row r="457" spans="32:38" ht="14.25" thickBot="1">
      <c r="AF457" s="3152">
        <v>455</v>
      </c>
      <c r="AG457" s="3156" t="s">
        <v>3491</v>
      </c>
      <c r="AH457" s="3156" t="s">
        <v>3392</v>
      </c>
      <c r="AI457" s="3153">
        <v>1455</v>
      </c>
      <c r="AJ457" s="3153">
        <v>47.92</v>
      </c>
      <c r="AK457" s="3153">
        <f t="shared" si="38"/>
        <v>6.39</v>
      </c>
      <c r="AL457" s="3153">
        <f t="shared" si="39"/>
        <v>1333</v>
      </c>
    </row>
    <row r="458" spans="32:38" ht="14.25" thickBot="1">
      <c r="AF458" s="3152">
        <v>456</v>
      </c>
      <c r="AG458" s="3156" t="s">
        <v>3491</v>
      </c>
      <c r="AH458" s="3156" t="s">
        <v>3392</v>
      </c>
      <c r="AI458" s="3153">
        <v>1456</v>
      </c>
      <c r="AJ458" s="3153">
        <v>47.92</v>
      </c>
      <c r="AK458" s="3153">
        <f t="shared" si="38"/>
        <v>6.39</v>
      </c>
      <c r="AL458" s="3153">
        <f t="shared" si="39"/>
        <v>1333</v>
      </c>
    </row>
    <row r="459" spans="32:38" ht="14.25" thickBot="1">
      <c r="AF459" s="3152">
        <v>457</v>
      </c>
      <c r="AG459" s="3156" t="s">
        <v>3491</v>
      </c>
      <c r="AH459" s="3156" t="s">
        <v>3392</v>
      </c>
      <c r="AI459" s="3153">
        <v>1457</v>
      </c>
      <c r="AJ459" s="3153">
        <v>47.92</v>
      </c>
      <c r="AK459" s="3153">
        <f t="shared" si="38"/>
        <v>6.39</v>
      </c>
      <c r="AL459" s="3153">
        <f t="shared" si="39"/>
        <v>1333</v>
      </c>
    </row>
    <row r="460" spans="32:38" ht="14.25" thickBot="1">
      <c r="AF460" s="3152">
        <v>458</v>
      </c>
      <c r="AG460" s="3156" t="s">
        <v>3491</v>
      </c>
      <c r="AH460" s="3156" t="s">
        <v>3392</v>
      </c>
      <c r="AI460" s="3153">
        <v>1458</v>
      </c>
      <c r="AJ460" s="3153">
        <v>47.92</v>
      </c>
      <c r="AK460" s="3153">
        <f t="shared" si="38"/>
        <v>6.39</v>
      </c>
      <c r="AL460" s="3153">
        <f t="shared" si="39"/>
        <v>1333</v>
      </c>
    </row>
    <row r="461" spans="32:38" ht="14.25" thickBot="1">
      <c r="AF461" s="3152">
        <v>459</v>
      </c>
      <c r="AG461" s="3156" t="s">
        <v>3491</v>
      </c>
      <c r="AH461" s="3156" t="s">
        <v>3392</v>
      </c>
      <c r="AI461" s="3153">
        <v>1459</v>
      </c>
      <c r="AJ461" s="3153">
        <v>47.92</v>
      </c>
      <c r="AK461" s="3153">
        <f t="shared" si="38"/>
        <v>6.39</v>
      </c>
      <c r="AL461" s="3153">
        <f t="shared" si="39"/>
        <v>1333</v>
      </c>
    </row>
    <row r="462" spans="32:38" ht="14.25" thickBot="1">
      <c r="AF462" s="3152">
        <v>460</v>
      </c>
      <c r="AG462" s="3156" t="s">
        <v>3491</v>
      </c>
      <c r="AH462" s="3156" t="s">
        <v>3392</v>
      </c>
      <c r="AI462" s="3153">
        <v>1460</v>
      </c>
      <c r="AJ462" s="3153">
        <v>47.92</v>
      </c>
      <c r="AK462" s="3153">
        <f t="shared" si="38"/>
        <v>6.39</v>
      </c>
      <c r="AL462" s="3153">
        <f t="shared" si="39"/>
        <v>1333</v>
      </c>
    </row>
    <row r="463" spans="32:38" ht="14.25" thickBot="1">
      <c r="AF463" s="3152">
        <v>461</v>
      </c>
      <c r="AG463" s="3156" t="s">
        <v>3491</v>
      </c>
      <c r="AH463" s="3156" t="s">
        <v>3392</v>
      </c>
      <c r="AI463" s="3153">
        <v>1461</v>
      </c>
      <c r="AJ463" s="3153">
        <v>47.92</v>
      </c>
      <c r="AK463" s="3153">
        <f t="shared" si="38"/>
        <v>6.39</v>
      </c>
      <c r="AL463" s="3153">
        <f t="shared" si="39"/>
        <v>1333</v>
      </c>
    </row>
    <row r="464" spans="32:38" ht="14.25" thickBot="1">
      <c r="AF464" s="3152">
        <v>462</v>
      </c>
      <c r="AG464" s="3156" t="s">
        <v>3491</v>
      </c>
      <c r="AH464" s="3156" t="s">
        <v>3392</v>
      </c>
      <c r="AI464" s="3153">
        <v>1462</v>
      </c>
      <c r="AJ464" s="3153">
        <v>47.92</v>
      </c>
      <c r="AK464" s="3153">
        <f t="shared" si="38"/>
        <v>6.39</v>
      </c>
      <c r="AL464" s="3153">
        <f t="shared" si="39"/>
        <v>1333</v>
      </c>
    </row>
    <row r="465" spans="32:38" ht="14.25" thickBot="1">
      <c r="AF465" s="3152">
        <v>463</v>
      </c>
      <c r="AG465" s="3156" t="s">
        <v>3491</v>
      </c>
      <c r="AH465" s="3156" t="s">
        <v>3392</v>
      </c>
      <c r="AI465" s="3153">
        <v>1463</v>
      </c>
      <c r="AJ465" s="3153">
        <v>47.92</v>
      </c>
      <c r="AK465" s="3153">
        <f t="shared" si="38"/>
        <v>6.39</v>
      </c>
      <c r="AL465" s="3153">
        <f t="shared" si="39"/>
        <v>1333</v>
      </c>
    </row>
    <row r="466" spans="32:38" ht="14.25" thickBot="1">
      <c r="AF466" s="3152">
        <v>464</v>
      </c>
      <c r="AG466" s="3156" t="s">
        <v>3491</v>
      </c>
      <c r="AH466" s="3156" t="s">
        <v>3392</v>
      </c>
      <c r="AI466" s="3153">
        <v>1464</v>
      </c>
      <c r="AJ466" s="3153">
        <v>47.92</v>
      </c>
      <c r="AK466" s="3153">
        <f t="shared" si="38"/>
        <v>6.39</v>
      </c>
      <c r="AL466" s="3153">
        <f t="shared" si="39"/>
        <v>1333</v>
      </c>
    </row>
    <row r="467" spans="32:38" ht="14.25" thickBot="1">
      <c r="AF467" s="3152">
        <v>465</v>
      </c>
      <c r="AG467" s="3156" t="s">
        <v>3491</v>
      </c>
      <c r="AH467" s="3156" t="s">
        <v>3392</v>
      </c>
      <c r="AI467" s="3153">
        <v>1465</v>
      </c>
      <c r="AJ467" s="3153">
        <v>47.92</v>
      </c>
      <c r="AK467" s="3153">
        <f t="shared" si="38"/>
        <v>6.39</v>
      </c>
      <c r="AL467" s="3153">
        <f t="shared" si="39"/>
        <v>1333</v>
      </c>
    </row>
    <row r="468" spans="32:38" ht="14.25" thickBot="1">
      <c r="AF468" s="3152">
        <v>466</v>
      </c>
      <c r="AG468" s="3156" t="s">
        <v>3491</v>
      </c>
      <c r="AH468" s="3156" t="s">
        <v>3392</v>
      </c>
      <c r="AI468" s="3153">
        <v>1466</v>
      </c>
      <c r="AJ468" s="3153">
        <v>47.92</v>
      </c>
      <c r="AK468" s="3153">
        <f t="shared" si="38"/>
        <v>6.39</v>
      </c>
      <c r="AL468" s="3153">
        <f t="shared" si="39"/>
        <v>1333</v>
      </c>
    </row>
    <row r="469" spans="32:38" ht="14.25" thickBot="1">
      <c r="AF469" s="3152">
        <v>467</v>
      </c>
      <c r="AG469" s="3156" t="s">
        <v>3491</v>
      </c>
      <c r="AH469" s="3156" t="s">
        <v>3392</v>
      </c>
      <c r="AI469" s="3153">
        <v>1467</v>
      </c>
      <c r="AJ469" s="3153">
        <v>47.92</v>
      </c>
      <c r="AK469" s="3153">
        <f t="shared" si="38"/>
        <v>6.39</v>
      </c>
      <c r="AL469" s="3153">
        <f t="shared" si="39"/>
        <v>1333</v>
      </c>
    </row>
    <row r="470" spans="32:38" ht="14.25" thickBot="1">
      <c r="AF470" s="3152">
        <v>468</v>
      </c>
      <c r="AG470" s="3156" t="s">
        <v>3491</v>
      </c>
      <c r="AH470" s="3156" t="s">
        <v>3392</v>
      </c>
      <c r="AI470" s="3153">
        <v>1468</v>
      </c>
      <c r="AJ470" s="3153">
        <v>47.92</v>
      </c>
      <c r="AK470" s="3153">
        <f t="shared" si="38"/>
        <v>6.39</v>
      </c>
      <c r="AL470" s="3153">
        <f t="shared" si="39"/>
        <v>1333</v>
      </c>
    </row>
    <row r="471" spans="32:38" ht="14.25" thickBot="1">
      <c r="AF471" s="3152">
        <v>469</v>
      </c>
      <c r="AG471" s="3156" t="s">
        <v>3491</v>
      </c>
      <c r="AH471" s="3156" t="s">
        <v>3392</v>
      </c>
      <c r="AI471" s="3153">
        <v>1469</v>
      </c>
      <c r="AJ471" s="3153">
        <v>47.92</v>
      </c>
      <c r="AK471" s="3153">
        <f t="shared" si="38"/>
        <v>6.39</v>
      </c>
      <c r="AL471" s="3153">
        <f t="shared" si="39"/>
        <v>1333</v>
      </c>
    </row>
    <row r="472" spans="32:38" ht="14.25" thickBot="1">
      <c r="AF472" s="3152">
        <v>470</v>
      </c>
      <c r="AG472" s="3156" t="s">
        <v>3491</v>
      </c>
      <c r="AH472" s="3156" t="s">
        <v>3392</v>
      </c>
      <c r="AI472" s="3153">
        <v>1470</v>
      </c>
      <c r="AJ472" s="3153">
        <v>47.92</v>
      </c>
      <c r="AK472" s="3153">
        <f t="shared" si="38"/>
        <v>6.39</v>
      </c>
      <c r="AL472" s="3153">
        <f t="shared" si="39"/>
        <v>1333</v>
      </c>
    </row>
    <row r="473" spans="32:38" ht="14.25" thickBot="1">
      <c r="AF473" s="3152">
        <v>471</v>
      </c>
      <c r="AG473" s="3156" t="s">
        <v>3491</v>
      </c>
      <c r="AH473" s="3156" t="s">
        <v>3392</v>
      </c>
      <c r="AI473" s="3153">
        <v>1471</v>
      </c>
      <c r="AJ473" s="3153">
        <v>47.92</v>
      </c>
      <c r="AK473" s="3153">
        <f t="shared" si="38"/>
        <v>6.39</v>
      </c>
      <c r="AL473" s="3153">
        <f t="shared" si="39"/>
        <v>1333</v>
      </c>
    </row>
    <row r="474" spans="32:38" ht="14.25" thickBot="1">
      <c r="AF474" s="3152">
        <v>472</v>
      </c>
      <c r="AG474" s="3156" t="s">
        <v>3491</v>
      </c>
      <c r="AH474" s="3156" t="s">
        <v>3392</v>
      </c>
      <c r="AI474" s="3153">
        <v>1472</v>
      </c>
      <c r="AJ474" s="3153">
        <v>47.92</v>
      </c>
      <c r="AK474" s="3153">
        <f t="shared" si="38"/>
        <v>6.39</v>
      </c>
      <c r="AL474" s="3153">
        <f t="shared" si="39"/>
        <v>1333</v>
      </c>
    </row>
    <row r="475" spans="32:38" ht="14.25" thickBot="1">
      <c r="AF475" s="3152">
        <v>473</v>
      </c>
      <c r="AG475" s="3156" t="s">
        <v>3491</v>
      </c>
      <c r="AH475" s="3156" t="s">
        <v>3392</v>
      </c>
      <c r="AI475" s="3153">
        <v>1473</v>
      </c>
      <c r="AJ475" s="3153">
        <v>47.92</v>
      </c>
      <c r="AK475" s="3153">
        <f t="shared" si="38"/>
        <v>6.39</v>
      </c>
      <c r="AL475" s="3153">
        <f t="shared" si="39"/>
        <v>1333</v>
      </c>
    </row>
    <row r="476" spans="32:38" ht="14.25" thickBot="1">
      <c r="AF476" s="3152">
        <v>474</v>
      </c>
      <c r="AG476" s="3156" t="s">
        <v>3491</v>
      </c>
      <c r="AH476" s="3156" t="s">
        <v>3392</v>
      </c>
      <c r="AI476" s="3153">
        <v>1474</v>
      </c>
      <c r="AJ476" s="3153">
        <v>47.92</v>
      </c>
      <c r="AK476" s="3153">
        <f t="shared" si="38"/>
        <v>6.39</v>
      </c>
      <c r="AL476" s="3153">
        <f t="shared" si="39"/>
        <v>1333</v>
      </c>
    </row>
    <row r="477" spans="32:38" ht="14.25" thickBot="1">
      <c r="AF477" s="3152">
        <v>475</v>
      </c>
      <c r="AG477" s="3156" t="s">
        <v>3491</v>
      </c>
      <c r="AH477" s="3156" t="s">
        <v>3392</v>
      </c>
      <c r="AI477" s="3153">
        <v>1475</v>
      </c>
      <c r="AJ477" s="3153">
        <v>47.92</v>
      </c>
      <c r="AK477" s="3153">
        <f t="shared" si="38"/>
        <v>6.39</v>
      </c>
      <c r="AL477" s="3153">
        <f t="shared" si="39"/>
        <v>1333</v>
      </c>
    </row>
    <row r="478" spans="32:38" ht="14.25" thickBot="1">
      <c r="AF478" s="3152">
        <v>476</v>
      </c>
      <c r="AG478" s="3156" t="s">
        <v>3491</v>
      </c>
      <c r="AH478" s="3156" t="s">
        <v>3392</v>
      </c>
      <c r="AI478" s="3153">
        <v>1476</v>
      </c>
      <c r="AJ478" s="3153">
        <v>47.92</v>
      </c>
      <c r="AK478" s="3153">
        <f t="shared" si="38"/>
        <v>6.39</v>
      </c>
      <c r="AL478" s="3153">
        <f t="shared" si="39"/>
        <v>1333</v>
      </c>
    </row>
    <row r="479" spans="32:38" ht="14.25" thickBot="1">
      <c r="AF479" s="3152">
        <v>477</v>
      </c>
      <c r="AG479" s="3156" t="s">
        <v>3491</v>
      </c>
      <c r="AH479" s="3156" t="s">
        <v>3392</v>
      </c>
      <c r="AI479" s="3153">
        <v>1477</v>
      </c>
      <c r="AJ479" s="3153">
        <v>47.92</v>
      </c>
      <c r="AK479" s="3153">
        <f t="shared" si="38"/>
        <v>6.39</v>
      </c>
      <c r="AL479" s="3153">
        <f t="shared" si="39"/>
        <v>1333</v>
      </c>
    </row>
    <row r="480" spans="32:38" ht="14.25" thickBot="1">
      <c r="AF480" s="3152">
        <v>478</v>
      </c>
      <c r="AG480" s="3156" t="s">
        <v>3491</v>
      </c>
      <c r="AH480" s="3156" t="s">
        <v>3392</v>
      </c>
      <c r="AI480" s="3153">
        <v>1478</v>
      </c>
      <c r="AJ480" s="3153">
        <v>47.92</v>
      </c>
      <c r="AK480" s="3153">
        <f t="shared" si="38"/>
        <v>6.39</v>
      </c>
      <c r="AL480" s="3153">
        <f t="shared" si="39"/>
        <v>1333</v>
      </c>
    </row>
    <row r="481" spans="32:38" ht="14.25" thickBot="1">
      <c r="AF481" s="3152">
        <v>479</v>
      </c>
      <c r="AG481" s="3156" t="s">
        <v>3491</v>
      </c>
      <c r="AH481" s="3156" t="s">
        <v>3392</v>
      </c>
      <c r="AI481" s="3153">
        <v>1479</v>
      </c>
      <c r="AJ481" s="3153">
        <v>47.92</v>
      </c>
      <c r="AK481" s="3153">
        <f t="shared" si="38"/>
        <v>6.39</v>
      </c>
      <c r="AL481" s="3153">
        <f t="shared" si="39"/>
        <v>1333</v>
      </c>
    </row>
    <row r="482" spans="32:38" ht="14.25" thickBot="1">
      <c r="AF482" s="3152">
        <v>480</v>
      </c>
      <c r="AG482" s="3156" t="s">
        <v>3491</v>
      </c>
      <c r="AH482" s="3156" t="s">
        <v>3392</v>
      </c>
      <c r="AI482" s="3153">
        <v>1480</v>
      </c>
      <c r="AJ482" s="3153">
        <v>47.92</v>
      </c>
      <c r="AK482" s="3153">
        <f t="shared" si="38"/>
        <v>6.39</v>
      </c>
      <c r="AL482" s="3153">
        <f t="shared" si="39"/>
        <v>1333</v>
      </c>
    </row>
    <row r="483" spans="32:38" ht="14.25" thickBot="1">
      <c r="AF483" s="3152">
        <v>481</v>
      </c>
      <c r="AG483" s="3156" t="s">
        <v>3491</v>
      </c>
      <c r="AH483" s="3156" t="s">
        <v>3392</v>
      </c>
      <c r="AI483" s="3153">
        <v>1481</v>
      </c>
      <c r="AJ483" s="3153">
        <v>47.92</v>
      </c>
      <c r="AK483" s="3153">
        <f t="shared" si="38"/>
        <v>6.39</v>
      </c>
      <c r="AL483" s="3153">
        <f t="shared" si="39"/>
        <v>1333</v>
      </c>
    </row>
    <row r="484" spans="32:38" ht="14.25" thickBot="1">
      <c r="AF484" s="3152">
        <v>482</v>
      </c>
      <c r="AG484" s="3156" t="s">
        <v>3491</v>
      </c>
      <c r="AH484" s="3156" t="s">
        <v>3392</v>
      </c>
      <c r="AI484" s="3153">
        <v>1482</v>
      </c>
      <c r="AJ484" s="3153">
        <v>47.92</v>
      </c>
      <c r="AK484" s="3153">
        <f t="shared" si="38"/>
        <v>6.39</v>
      </c>
      <c r="AL484" s="3153">
        <f t="shared" si="39"/>
        <v>1333</v>
      </c>
    </row>
    <row r="485" spans="32:38" ht="14.25" thickBot="1">
      <c r="AF485" s="3152">
        <v>483</v>
      </c>
      <c r="AG485" s="3156" t="s">
        <v>3491</v>
      </c>
      <c r="AH485" s="3156" t="s">
        <v>3392</v>
      </c>
      <c r="AI485" s="3153">
        <v>1483</v>
      </c>
      <c r="AJ485" s="3153">
        <v>47.92</v>
      </c>
      <c r="AK485" s="3153">
        <f t="shared" si="38"/>
        <v>6.39</v>
      </c>
      <c r="AL485" s="3153">
        <f t="shared" si="39"/>
        <v>1333</v>
      </c>
    </row>
    <row r="486" spans="32:38" ht="14.25" thickBot="1">
      <c r="AF486" s="3152">
        <v>484</v>
      </c>
      <c r="AG486" s="3156" t="s">
        <v>3491</v>
      </c>
      <c r="AH486" s="3156" t="s">
        <v>3392</v>
      </c>
      <c r="AI486" s="3153">
        <v>1484</v>
      </c>
      <c r="AJ486" s="3153">
        <v>47.92</v>
      </c>
      <c r="AK486" s="3153">
        <f t="shared" si="38"/>
        <v>6.39</v>
      </c>
      <c r="AL486" s="3153">
        <f t="shared" si="39"/>
        <v>1333</v>
      </c>
    </row>
    <row r="487" spans="32:38" ht="14.25" thickBot="1">
      <c r="AF487" s="3152">
        <v>485</v>
      </c>
      <c r="AG487" s="3156" t="s">
        <v>3491</v>
      </c>
      <c r="AH487" s="3156" t="s">
        <v>3392</v>
      </c>
      <c r="AI487" s="3153">
        <v>1485</v>
      </c>
      <c r="AJ487" s="3153">
        <v>47.92</v>
      </c>
      <c r="AK487" s="3153">
        <f t="shared" si="38"/>
        <v>6.39</v>
      </c>
      <c r="AL487" s="3153">
        <f t="shared" si="39"/>
        <v>1333</v>
      </c>
    </row>
    <row r="488" spans="32:38" ht="14.25" thickBot="1">
      <c r="AF488" s="3152">
        <v>486</v>
      </c>
      <c r="AG488" s="3156" t="s">
        <v>3491</v>
      </c>
      <c r="AH488" s="3156" t="s">
        <v>3392</v>
      </c>
      <c r="AI488" s="3153">
        <v>1486</v>
      </c>
      <c r="AJ488" s="3153">
        <v>47.92</v>
      </c>
      <c r="AK488" s="3153">
        <f t="shared" si="38"/>
        <v>6.39</v>
      </c>
      <c r="AL488" s="3153">
        <f t="shared" si="39"/>
        <v>1333</v>
      </c>
    </row>
    <row r="489" spans="32:38" ht="14.25" thickBot="1">
      <c r="AF489" s="3152">
        <v>487</v>
      </c>
      <c r="AG489" s="3156" t="s">
        <v>3491</v>
      </c>
      <c r="AH489" s="3156" t="s">
        <v>3392</v>
      </c>
      <c r="AI489" s="3153">
        <v>1487</v>
      </c>
      <c r="AJ489" s="3153">
        <v>47.92</v>
      </c>
      <c r="AK489" s="3153">
        <f t="shared" si="38"/>
        <v>6.39</v>
      </c>
      <c r="AL489" s="3153">
        <f t="shared" si="39"/>
        <v>1333</v>
      </c>
    </row>
    <row r="490" spans="32:38" ht="14.25" thickBot="1">
      <c r="AF490" s="3152">
        <v>488</v>
      </c>
      <c r="AG490" s="3156" t="s">
        <v>3491</v>
      </c>
      <c r="AH490" s="3156" t="s">
        <v>3392</v>
      </c>
      <c r="AI490" s="3153">
        <v>1488</v>
      </c>
      <c r="AJ490" s="3153">
        <v>47.92</v>
      </c>
      <c r="AK490" s="3153">
        <f t="shared" si="38"/>
        <v>6.39</v>
      </c>
      <c r="AL490" s="3153">
        <f t="shared" si="39"/>
        <v>1333</v>
      </c>
    </row>
    <row r="491" spans="32:38" ht="14.25" thickBot="1">
      <c r="AF491" s="3152">
        <v>489</v>
      </c>
      <c r="AG491" s="3156" t="s">
        <v>3491</v>
      </c>
      <c r="AH491" s="3156" t="s">
        <v>3392</v>
      </c>
      <c r="AI491" s="3153">
        <v>1489</v>
      </c>
      <c r="AJ491" s="3153">
        <v>47.92</v>
      </c>
      <c r="AK491" s="3153">
        <f t="shared" si="38"/>
        <v>6.39</v>
      </c>
      <c r="AL491" s="3153">
        <f t="shared" si="39"/>
        <v>1333</v>
      </c>
    </row>
    <row r="492" spans="32:38" ht="14.25" thickBot="1">
      <c r="AF492" s="3152">
        <v>490</v>
      </c>
      <c r="AG492" s="3156" t="s">
        <v>3491</v>
      </c>
      <c r="AH492" s="3156" t="s">
        <v>3392</v>
      </c>
      <c r="AI492" s="3153">
        <v>1490</v>
      </c>
      <c r="AJ492" s="3153">
        <v>47.92</v>
      </c>
      <c r="AK492" s="3153">
        <f t="shared" si="38"/>
        <v>6.39</v>
      </c>
      <c r="AL492" s="3153">
        <f t="shared" si="39"/>
        <v>1333</v>
      </c>
    </row>
    <row r="493" spans="32:38" ht="14.25" thickBot="1">
      <c r="AF493" s="3152">
        <v>491</v>
      </c>
      <c r="AG493" s="3156" t="s">
        <v>3491</v>
      </c>
      <c r="AH493" s="3156" t="s">
        <v>3392</v>
      </c>
      <c r="AI493" s="3153">
        <v>1491</v>
      </c>
      <c r="AJ493" s="3153">
        <v>47.92</v>
      </c>
      <c r="AK493" s="3153">
        <f t="shared" si="38"/>
        <v>6.39</v>
      </c>
      <c r="AL493" s="3153">
        <f t="shared" si="39"/>
        <v>1333</v>
      </c>
    </row>
    <row r="494" spans="32:38" ht="14.25" thickBot="1">
      <c r="AF494" s="3152">
        <v>492</v>
      </c>
      <c r="AG494" s="3156" t="s">
        <v>3491</v>
      </c>
      <c r="AH494" s="3156" t="s">
        <v>3392</v>
      </c>
      <c r="AI494" s="3153">
        <v>1492</v>
      </c>
      <c r="AJ494" s="3153">
        <v>47.92</v>
      </c>
      <c r="AK494" s="3153">
        <f t="shared" si="38"/>
        <v>6.39</v>
      </c>
      <c r="AL494" s="3153">
        <f t="shared" si="39"/>
        <v>1333</v>
      </c>
    </row>
    <row r="495" spans="32:38" ht="14.25" thickBot="1">
      <c r="AF495" s="3152">
        <v>493</v>
      </c>
      <c r="AG495" s="3156" t="s">
        <v>3491</v>
      </c>
      <c r="AH495" s="3156" t="s">
        <v>3392</v>
      </c>
      <c r="AI495" s="3153">
        <v>1493</v>
      </c>
      <c r="AJ495" s="3153">
        <v>47.92</v>
      </c>
      <c r="AK495" s="3153">
        <f t="shared" si="38"/>
        <v>6.39</v>
      </c>
      <c r="AL495" s="3153">
        <f t="shared" si="39"/>
        <v>1333</v>
      </c>
    </row>
    <row r="496" spans="32:38" ht="14.25" thickBot="1">
      <c r="AF496" s="3152">
        <v>494</v>
      </c>
      <c r="AG496" s="3156" t="s">
        <v>3491</v>
      </c>
      <c r="AH496" s="3156" t="s">
        <v>3392</v>
      </c>
      <c r="AI496" s="3153">
        <v>1494</v>
      </c>
      <c r="AJ496" s="3153">
        <v>47.92</v>
      </c>
      <c r="AK496" s="3153">
        <f t="shared" si="38"/>
        <v>6.39</v>
      </c>
      <c r="AL496" s="3153">
        <f t="shared" si="39"/>
        <v>1333</v>
      </c>
    </row>
    <row r="497" spans="32:38" ht="14.25" thickBot="1">
      <c r="AF497" s="3152">
        <v>495</v>
      </c>
      <c r="AG497" s="3156" t="s">
        <v>3491</v>
      </c>
      <c r="AH497" s="3156" t="s">
        <v>3392</v>
      </c>
      <c r="AI497" s="3153">
        <v>1495</v>
      </c>
      <c r="AJ497" s="3153">
        <v>47.92</v>
      </c>
      <c r="AK497" s="3153">
        <f t="shared" si="38"/>
        <v>6.39</v>
      </c>
      <c r="AL497" s="3153">
        <f t="shared" si="39"/>
        <v>1333</v>
      </c>
    </row>
    <row r="498" spans="32:38" ht="14.25" thickBot="1">
      <c r="AF498" s="3152">
        <v>496</v>
      </c>
      <c r="AG498" s="3156" t="s">
        <v>3491</v>
      </c>
      <c r="AH498" s="3156" t="s">
        <v>3392</v>
      </c>
      <c r="AI498" s="3153">
        <v>1496</v>
      </c>
      <c r="AJ498" s="3153">
        <v>47.92</v>
      </c>
      <c r="AK498" s="3153">
        <f t="shared" si="38"/>
        <v>6.39</v>
      </c>
      <c r="AL498" s="3153">
        <f t="shared" si="39"/>
        <v>1333</v>
      </c>
    </row>
    <row r="499" spans="32:38" ht="14.25" thickBot="1">
      <c r="AF499" s="3152">
        <v>497</v>
      </c>
      <c r="AG499" s="3156" t="s">
        <v>3491</v>
      </c>
      <c r="AH499" s="3156" t="s">
        <v>3392</v>
      </c>
      <c r="AI499" s="3153">
        <v>1497</v>
      </c>
      <c r="AJ499" s="3153">
        <v>47.92</v>
      </c>
      <c r="AK499" s="3153">
        <f t="shared" si="38"/>
        <v>6.39</v>
      </c>
      <c r="AL499" s="3153">
        <f t="shared" si="39"/>
        <v>1333</v>
      </c>
    </row>
    <row r="500" spans="32:38" ht="14.25" thickBot="1">
      <c r="AF500" s="3152">
        <v>498</v>
      </c>
      <c r="AG500" s="3156" t="s">
        <v>3491</v>
      </c>
      <c r="AH500" s="3156" t="s">
        <v>3392</v>
      </c>
      <c r="AI500" s="3153">
        <v>1498</v>
      </c>
      <c r="AJ500" s="3153">
        <v>47.92</v>
      </c>
      <c r="AK500" s="3153">
        <f t="shared" si="38"/>
        <v>6.39</v>
      </c>
      <c r="AL500" s="3153">
        <f t="shared" si="39"/>
        <v>1333</v>
      </c>
    </row>
    <row r="501" spans="32:38" ht="14.25" thickBot="1">
      <c r="AF501" s="3152">
        <v>499</v>
      </c>
      <c r="AG501" s="3156" t="s">
        <v>3491</v>
      </c>
      <c r="AH501" s="3156" t="s">
        <v>3392</v>
      </c>
      <c r="AI501" s="3153">
        <v>1499</v>
      </c>
      <c r="AJ501" s="3153">
        <v>47.92</v>
      </c>
      <c r="AK501" s="3153">
        <f>测绘面积!F65-SUM(拆分价值!AK500:'拆分价值'!AK3)</f>
        <v>5.7800000000083855</v>
      </c>
      <c r="AL501" s="3153">
        <f t="shared" si="39"/>
        <v>1333</v>
      </c>
    </row>
    <row r="502" spans="32:38" ht="14.25" thickBot="1">
      <c r="AF502" s="3247" t="s">
        <v>3513</v>
      </c>
      <c r="AG502" s="3248"/>
      <c r="AH502" s="3248"/>
      <c r="AI502" s="3249"/>
      <c r="AJ502" s="3153">
        <v>23852.28</v>
      </c>
      <c r="AK502" s="3153">
        <f>SUM(AK3:AK501)</f>
        <v>3180</v>
      </c>
      <c r="AL502" s="3153" t="s">
        <v>43</v>
      </c>
    </row>
    <row r="504" spans="32:38">
      <c r="AI504" s="3159" t="s">
        <v>3501</v>
      </c>
      <c r="AJ504" s="3159">
        <v>23852.28</v>
      </c>
      <c r="AK504" s="3159">
        <v>2584</v>
      </c>
      <c r="AL504" s="3159">
        <v>1083</v>
      </c>
    </row>
  </sheetData>
  <mergeCells count="9">
    <mergeCell ref="P89:S89"/>
    <mergeCell ref="A390:D390"/>
    <mergeCell ref="AF502:AI502"/>
    <mergeCell ref="A1:G1"/>
    <mergeCell ref="I1:N1"/>
    <mergeCell ref="P1:V1"/>
    <mergeCell ref="X1:AD1"/>
    <mergeCell ref="AF1:AL1"/>
    <mergeCell ref="I35:K35"/>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0" t="s">
        <v>1131</v>
      </c>
      <c r="B2" s="3260"/>
      <c r="C2" s="3260"/>
      <c r="D2" s="748" t="s">
        <v>1107</v>
      </c>
      <c r="E2" s="1522" t="s">
        <v>1108</v>
      </c>
      <c r="F2" s="2436"/>
      <c r="G2" s="2429"/>
      <c r="H2" s="2430"/>
      <c r="I2" s="2145" t="s">
        <v>1132</v>
      </c>
      <c r="J2" s="2436"/>
      <c r="K2" s="2436"/>
      <c r="L2" s="2436"/>
      <c r="M2" s="2436"/>
      <c r="N2" s="2437"/>
      <c r="O2" s="2436"/>
      <c r="P2" s="2436"/>
    </row>
    <row r="3" spans="1:16" ht="15.75" thickBot="1">
      <c r="A3" s="3261" t="s">
        <v>1105</v>
      </c>
      <c r="B3" s="3261"/>
      <c r="C3" s="3261"/>
      <c r="D3" s="41">
        <f>'数据-基础表'!AY6</f>
        <v>123131.88</v>
      </c>
      <c r="E3" s="41">
        <f>'数据-基础表'!AZ5</f>
        <v>139467.97</v>
      </c>
      <c r="F3" s="2436"/>
      <c r="G3" s="42"/>
      <c r="H3" s="43" t="s">
        <v>1106</v>
      </c>
      <c r="I3" s="802">
        <f>ROUND('数据-基础表'!B3/'数据-基础表'!A3,2)</f>
        <v>1.1299999999999999</v>
      </c>
      <c r="J3" s="2436"/>
      <c r="K3" s="2436"/>
      <c r="L3" s="2436"/>
      <c r="M3" s="2436"/>
      <c r="N3" s="2437"/>
      <c r="O3" s="2436"/>
      <c r="P3" s="2436"/>
    </row>
    <row r="4" spans="1:16" ht="15">
      <c r="A4" s="3262"/>
      <c r="B4" s="3263"/>
      <c r="C4" s="3264"/>
      <c r="D4" s="1523" t="s">
        <v>1107</v>
      </c>
      <c r="E4" s="1524" t="s">
        <v>1108</v>
      </c>
      <c r="F4" s="2436"/>
      <c r="G4" s="2431" t="s">
        <v>1133</v>
      </c>
      <c r="H4" s="43" t="s">
        <v>1113</v>
      </c>
      <c r="I4" s="802">
        <f>ROUND(SUMIF('数据-基础表'!I9:AS9,"地上",'数据-基础表'!I5:AS5)/'数据-基础表'!A3,2)</f>
        <v>0.87</v>
      </c>
      <c r="J4" s="2436"/>
      <c r="K4" s="2436"/>
      <c r="L4" s="2436"/>
      <c r="M4" s="2436"/>
      <c r="N4" s="2437"/>
      <c r="O4" s="2436"/>
      <c r="P4" s="2436"/>
    </row>
    <row r="5" spans="1:16">
      <c r="A5" s="42" t="s">
        <v>1109</v>
      </c>
      <c r="B5" s="3265" t="s">
        <v>1110</v>
      </c>
      <c r="C5" s="3265"/>
      <c r="D5" s="43">
        <f>ROUND($D$3*E5/$E$3,2)</f>
        <v>94150.65</v>
      </c>
      <c r="E5" s="44">
        <f>SUMIF('数据-基础表'!$11:$11,"住宅",'数据-基础表'!$5:$5)</f>
        <v>106641.76</v>
      </c>
      <c r="F5" s="2436"/>
      <c r="G5" s="42"/>
      <c r="H5" s="43" t="s">
        <v>1106</v>
      </c>
      <c r="I5" s="802">
        <f>ROUND(E31/D31,2)</f>
        <v>1.1299999999999999</v>
      </c>
      <c r="J5" s="2436"/>
      <c r="K5" s="2436"/>
      <c r="L5" s="2436"/>
      <c r="M5" s="2436"/>
      <c r="N5" s="2436"/>
      <c r="O5" s="2436"/>
      <c r="P5" s="2436"/>
    </row>
    <row r="6" spans="1:16" ht="15" thickBot="1">
      <c r="A6" s="1526"/>
      <c r="B6" s="3265" t="s">
        <v>1111</v>
      </c>
      <c r="C6" s="3265"/>
      <c r="D6" s="43">
        <f>ROUND($D$3*E6/$E$3,2)</f>
        <v>28981.23</v>
      </c>
      <c r="E6" s="44">
        <f>E3-E5</f>
        <v>32826.210000000006</v>
      </c>
      <c r="F6" s="2436"/>
      <c r="G6" s="1528" t="s">
        <v>1112</v>
      </c>
      <c r="H6" s="45" t="s">
        <v>1113</v>
      </c>
      <c r="I6" s="2432">
        <f>ROUND(F31/D31,2)</f>
        <v>0.87</v>
      </c>
      <c r="J6" s="2436"/>
      <c r="K6" s="2436"/>
      <c r="L6" s="2436"/>
      <c r="M6" s="2436"/>
      <c r="N6" s="2436"/>
      <c r="O6" s="2436"/>
      <c r="P6" s="2436"/>
    </row>
    <row r="7" spans="1:16" ht="15.75" thickBot="1">
      <c r="A7" s="3257"/>
      <c r="B7" s="3258"/>
      <c r="C7" s="3259"/>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94150.65</v>
      </c>
      <c r="E8" s="46">
        <f>SUMIF('数据-基础表'!BB10:BK10,"地上",'数据-基础表'!BB5:BK5)</f>
        <v>106641.76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7922.8</v>
      </c>
      <c r="E12" s="46">
        <f>SUMPRODUCT(('数据-基础表'!BB10:BK10="地下")*('数据-基础表'!BB11:BK11="仓储")*('数据-基础表'!BB5:BK5))</f>
        <v>8973.9299999999985</v>
      </c>
      <c r="F12" s="2436"/>
      <c r="G12" s="2436"/>
      <c r="H12" s="2436"/>
      <c r="I12" s="2436"/>
      <c r="J12" s="2436"/>
      <c r="K12" s="2436"/>
      <c r="L12" s="2436"/>
      <c r="M12" s="2436"/>
      <c r="N12" s="2436"/>
      <c r="O12" s="2436"/>
      <c r="P12" s="2436"/>
    </row>
    <row r="13" spans="1:16">
      <c r="A13" s="1528"/>
      <c r="B13" s="1529"/>
      <c r="C13" s="43" t="s">
        <v>1122</v>
      </c>
      <c r="D13" s="43">
        <f t="shared" si="0"/>
        <v>21058.43</v>
      </c>
      <c r="E13" s="46">
        <f>SUMPRODUCT(('数据-基础表'!BB10:BK10="地下")*('数据-基础表'!BB11:BK11="车库")*('数据-基础表'!BB5:BK5))</f>
        <v>23852.28</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123131.88</v>
      </c>
      <c r="E16" s="48">
        <f>SUM(E8:E15)</f>
        <v>139467.96999999997</v>
      </c>
      <c r="F16" s="2436"/>
      <c r="G16" s="2436"/>
      <c r="H16" s="1530" t="s">
        <v>1135</v>
      </c>
      <c r="I16" s="1531"/>
      <c r="J16" s="1070"/>
      <c r="K16" s="3254" t="s">
        <v>1135</v>
      </c>
      <c r="L16" s="3255"/>
      <c r="M16" s="3255"/>
      <c r="N16" s="3255"/>
      <c r="O16" s="3255"/>
      <c r="P16" s="3256"/>
    </row>
    <row r="17" spans="1:19" ht="15">
      <c r="A17" s="1532" t="s">
        <v>1136</v>
      </c>
      <c r="B17" s="1533" t="s">
        <v>1137</v>
      </c>
      <c r="C17" s="1534" t="s">
        <v>1138</v>
      </c>
      <c r="D17" s="1535" t="s">
        <v>1126</v>
      </c>
      <c r="E17" s="1536" t="s">
        <v>1127</v>
      </c>
      <c r="F17" s="1537"/>
      <c r="G17" s="1538"/>
      <c r="H17" s="1539" t="s">
        <v>1139</v>
      </c>
      <c r="I17" s="1540" t="s">
        <v>1124</v>
      </c>
      <c r="J17" s="1070"/>
      <c r="K17" s="3251" t="s">
        <v>1140</v>
      </c>
      <c r="L17" s="3252"/>
      <c r="M17" s="3253"/>
      <c r="N17" s="3251" t="s">
        <v>1141</v>
      </c>
      <c r="O17" s="3252"/>
      <c r="P17" s="3253"/>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3" t="s">
        <v>3389</v>
      </c>
      <c r="D19" s="43">
        <f>ROUND($D$3*E19/$E$3,2)</f>
        <v>63363.58</v>
      </c>
      <c r="E19" s="51">
        <f t="shared" ref="E19:E26" si="1">SUM(F19:G19)</f>
        <v>71770.12</v>
      </c>
      <c r="F19" s="2555">
        <f>'数据-基础表'!I13</f>
        <v>71770.12</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63363.58</v>
      </c>
      <c r="S19" s="51">
        <f t="shared" si="5"/>
        <v>71770.12</v>
      </c>
    </row>
    <row r="20" spans="1:19">
      <c r="A20" s="1548"/>
      <c r="B20" s="45" t="s">
        <v>1153</v>
      </c>
      <c r="C20" s="3113" t="s">
        <v>3390</v>
      </c>
      <c r="D20" s="43">
        <f t="shared" ref="D20:D26" si="6">ROUND($D$3*E20/$E$3,2)</f>
        <v>7117.84</v>
      </c>
      <c r="E20" s="51">
        <f t="shared" si="1"/>
        <v>8062.17</v>
      </c>
      <c r="F20" s="2555">
        <f>'数据-基础表'!K13</f>
        <v>8062.17</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7117.84</v>
      </c>
      <c r="S20" s="51">
        <f t="shared" si="5"/>
        <v>8062.17</v>
      </c>
    </row>
    <row r="21" spans="1:19">
      <c r="A21" s="1548"/>
      <c r="B21" s="45" t="s">
        <v>1153</v>
      </c>
      <c r="C21" s="3113" t="s">
        <v>3391</v>
      </c>
      <c r="D21" s="43">
        <f t="shared" si="6"/>
        <v>23669.24</v>
      </c>
      <c r="E21" s="51">
        <f t="shared" si="1"/>
        <v>26809.469999999998</v>
      </c>
      <c r="F21" s="2555">
        <f>'数据-基础表'!M13</f>
        <v>26809.469999999998</v>
      </c>
      <c r="G21" s="1242"/>
      <c r="H21" s="637">
        <f t="shared" si="7"/>
        <v>0</v>
      </c>
      <c r="I21" s="46">
        <f t="shared" si="2"/>
        <v>0</v>
      </c>
      <c r="J21" s="1070"/>
      <c r="K21" s="637">
        <f t="shared" si="3"/>
        <v>0</v>
      </c>
      <c r="L21" s="43">
        <f t="shared" si="4"/>
        <v>0</v>
      </c>
      <c r="M21" s="46">
        <f t="shared" si="8"/>
        <v>0</v>
      </c>
      <c r="N21" s="1549"/>
      <c r="O21" s="1550"/>
      <c r="P21" s="46">
        <f t="shared" si="9"/>
        <v>0</v>
      </c>
      <c r="R21" s="43">
        <f t="shared" si="5"/>
        <v>23669.24</v>
      </c>
      <c r="S21" s="51">
        <f t="shared" si="5"/>
        <v>26809.469999999998</v>
      </c>
    </row>
    <row r="22" spans="1:19">
      <c r="A22" s="1548"/>
      <c r="B22" s="45" t="s">
        <v>1153</v>
      </c>
      <c r="C22" s="3114" t="s">
        <v>3327</v>
      </c>
      <c r="D22" s="43">
        <f t="shared" si="6"/>
        <v>21058.43</v>
      </c>
      <c r="E22" s="51">
        <f t="shared" si="1"/>
        <v>23852.28</v>
      </c>
      <c r="F22" s="2556"/>
      <c r="G22" s="2557">
        <f>'数据-基础表'!O13</f>
        <v>23852.28</v>
      </c>
      <c r="H22" s="637">
        <f t="shared" si="7"/>
        <v>0</v>
      </c>
      <c r="I22" s="46">
        <f t="shared" si="2"/>
        <v>0</v>
      </c>
      <c r="J22" s="1070"/>
      <c r="K22" s="637">
        <f t="shared" si="3"/>
        <v>0</v>
      </c>
      <c r="L22" s="43">
        <f t="shared" si="4"/>
        <v>0</v>
      </c>
      <c r="M22" s="46">
        <f t="shared" si="8"/>
        <v>0</v>
      </c>
      <c r="N22" s="1549"/>
      <c r="O22" s="1550"/>
      <c r="P22" s="46">
        <f t="shared" si="9"/>
        <v>0</v>
      </c>
      <c r="R22" s="43">
        <f t="shared" si="5"/>
        <v>21058.43</v>
      </c>
      <c r="S22" s="51">
        <f t="shared" si="5"/>
        <v>23852.28</v>
      </c>
    </row>
    <row r="23" spans="1:19">
      <c r="A23" s="1548"/>
      <c r="B23" s="45" t="s">
        <v>1153</v>
      </c>
      <c r="C23" s="3114" t="s">
        <v>3328</v>
      </c>
      <c r="D23" s="43">
        <f>ROUND($D$3*E23/$E$3,2)</f>
        <v>7922.8</v>
      </c>
      <c r="E23" s="51">
        <f>SUM(F23:G23)</f>
        <v>8973.9299999999985</v>
      </c>
      <c r="F23" s="2556"/>
      <c r="G23" s="2557">
        <f>'数据-基础表'!Q13</f>
        <v>8973.9299999999985</v>
      </c>
      <c r="H23" s="637">
        <f>ROUND($D$3*I23/$E$3,2)</f>
        <v>0</v>
      </c>
      <c r="I23" s="46">
        <f t="shared" si="2"/>
        <v>0</v>
      </c>
      <c r="J23" s="1070"/>
      <c r="K23" s="637">
        <f t="shared" si="3"/>
        <v>0</v>
      </c>
      <c r="L23" s="43">
        <f t="shared" si="4"/>
        <v>0</v>
      </c>
      <c r="M23" s="46">
        <f t="shared" si="8"/>
        <v>0</v>
      </c>
      <c r="N23" s="1549"/>
      <c r="O23" s="1550"/>
      <c r="P23" s="46">
        <f t="shared" si="9"/>
        <v>0</v>
      </c>
      <c r="R23" s="43">
        <f t="shared" si="5"/>
        <v>7922.8</v>
      </c>
      <c r="S23" s="51">
        <f t="shared" si="5"/>
        <v>8973.9299999999985</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29.25" thickBot="1">
      <c r="A27" s="1548"/>
      <c r="B27" s="43"/>
      <c r="C27" s="1553" t="s">
        <v>1154</v>
      </c>
      <c r="D27" s="1071">
        <f>SUM(D19:D26)</f>
        <v>123131.89</v>
      </c>
      <c r="E27" s="1072">
        <f>IF(SUM(E19:E26)='数据-基础表'!BA5,SUM(E19:E26),IF(F27="地上面积有误","面积有误","地下面积有误"))</f>
        <v>139467.97</v>
      </c>
      <c r="F27" s="1071">
        <f>IF(SUM(F19:F26)=E8,SUM(F19:F26),"地上面积有误")</f>
        <v>106641.76</v>
      </c>
      <c r="G27" s="1073">
        <f>SUM(G19:G26)</f>
        <v>32826.21</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t="str">
        <f>IF(SUM(R19:R26)=$D$3,SUM(R19:R26),SUM(R19:R26)&amp;"误差"&amp;ROUND(SUM(R19:R26)-$D$3,2))</f>
        <v>123131.89误差0.01</v>
      </c>
      <c r="S27" s="43">
        <f>IF(SUM(S19:S26)=$E$3,SUM(S19:S26),SUM(S19:S26)&amp;"误差"&amp;ROUND(SUM(S19:S26)-E3,2))</f>
        <v>139467.97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5" t="s">
        <v>1158</v>
      </c>
      <c r="D31" s="643">
        <f>D27+D30</f>
        <v>123131.89</v>
      </c>
      <c r="E31" s="643">
        <f>E27+E30</f>
        <v>139467.97</v>
      </c>
      <c r="F31" s="644">
        <f>F27+F30</f>
        <v>106641.76</v>
      </c>
      <c r="G31" s="645">
        <f>G27+G30</f>
        <v>32826.21</v>
      </c>
      <c r="H31" s="2436"/>
      <c r="I31" s="2436"/>
      <c r="J31" s="2436"/>
      <c r="K31" s="2436"/>
      <c r="L31" s="2436"/>
      <c r="M31" s="2436"/>
      <c r="N31" s="2436"/>
      <c r="O31" s="2436"/>
      <c r="P31" s="2436"/>
    </row>
    <row r="32" spans="1:19">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G20" sqref="G20"/>
      <selection pane="topRight" activeCell="G20" sqref="G20"/>
      <selection pane="bottomLeft" activeCell="G20" sqref="G20"/>
      <selection pane="bottomRight" activeCell="AC53" sqref="AC5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45596</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3515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叠拼</v>
      </c>
      <c r="B6" s="1586" t="str">
        <f>IF(A6=0,"","经营性")</f>
        <v>经营性</v>
      </c>
      <c r="C6" s="1587" t="s">
        <v>3388</v>
      </c>
      <c r="D6" s="805">
        <f>SUMIF(项目基本情况!C$12:I$12,C6,项目基本情况!C$14:I$14)</f>
        <v>70</v>
      </c>
      <c r="E6" s="804">
        <f>IF(B6="","",SUMIF(项目基本情况!C$12:I$12,C6,项目基本情况!C$13:I$13))</f>
        <v>63276</v>
      </c>
      <c r="F6" s="61">
        <f>SUMIF(项目基本情况!C$12:I$12,C6,项目基本情况!C$15:I$15)</f>
        <v>48.43</v>
      </c>
      <c r="G6" s="62">
        <f>IF(ISERROR(ROUND(POWER(1+H6,D6-F6)*(POWER(1+H6,F6)-1)/(POWER(1+H6,D6)-1),3)),0,ROUND(POWER(1+H6,D6-F6)*(POWER(1+H6,F6)-1)/(POWER(1+H6,D6)-1),3))</f>
        <v>0.90900000000000003</v>
      </c>
      <c r="H6" s="691">
        <v>0.04</v>
      </c>
      <c r="I6" s="691">
        <v>4.4999999999999998E-2</v>
      </c>
      <c r="J6" s="63">
        <v>7.0000000000000007E-2</v>
      </c>
      <c r="K6" s="970">
        <f>SUMIF('数据-汇总表'!C$19:C$33,A6,'数据-汇总表'!E$19:E$33)</f>
        <v>71770.12</v>
      </c>
      <c r="L6" s="692">
        <v>3200</v>
      </c>
      <c r="M6" s="64">
        <f t="shared" ref="M6:M14" si="0">ROUND(K6*L6/10000,0)</f>
        <v>22966</v>
      </c>
      <c r="N6" s="690">
        <v>0.8</v>
      </c>
      <c r="O6" s="64">
        <f>IF($N$5="成新度","——",ROUND(M6*N6,0))</f>
        <v>18373</v>
      </c>
      <c r="P6" s="65">
        <f>IF($N$5="成新度","——",M6-O6)</f>
        <v>4593</v>
      </c>
      <c r="Q6" s="693">
        <v>0.18</v>
      </c>
      <c r="R6" s="66">
        <f ca="1">SUMIF('数据-汇总表'!C$19:C$33,A6,'数据-汇总表'!R$19:R$27)</f>
        <v>63363.58</v>
      </c>
      <c r="S6" s="49">
        <f>IF('数据-汇总表'!$I$17="按面积比例",SUMIF('数据-汇总表'!C$19:C$33,A6,'数据-汇总表'!K$19:K$33),SUMIF('数据-汇总表'!C$19:C$33,A6,'数据-汇总表'!N$19:N$33))</f>
        <v>0</v>
      </c>
      <c r="T6" s="1091">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229664384</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联排</v>
      </c>
      <c r="B7" s="1586" t="str">
        <f t="shared" ref="B7:B13" si="1">IF(A7=0,"","经营性")</f>
        <v>经营性</v>
      </c>
      <c r="C7" s="1587" t="s">
        <v>3388</v>
      </c>
      <c r="D7" s="805">
        <f>SUMIF(项目基本情况!C$12:I$12,C7,项目基本情况!C$14:I$14)</f>
        <v>70</v>
      </c>
      <c r="E7" s="804">
        <f>IF(B7="","",SUMIF(项目基本情况!C$12:I$12,C7,项目基本情况!C$13:I$13))</f>
        <v>63276</v>
      </c>
      <c r="F7" s="61">
        <f>SUMIF(项目基本情况!C$12:I$12,C7,项目基本情况!C$15:I$15)</f>
        <v>48.43</v>
      </c>
      <c r="G7" s="62">
        <f t="shared" ref="G7:G11" si="2">IF(ISERROR(ROUND(POWER(1+H7,D7-F7)*(POWER(1+H7,F7)-1)/(POWER(1+H7,D7)-1),3)),0,ROUND(POWER(1+H7,D7-F7)*(POWER(1+H7,F7)-1)/(POWER(1+H7,D7)-1),3))</f>
        <v>0.90900000000000003</v>
      </c>
      <c r="H7" s="691">
        <v>0.04</v>
      </c>
      <c r="I7" s="691">
        <v>4.4999999999999998E-2</v>
      </c>
      <c r="J7" s="63">
        <v>7.0000000000000007E-2</v>
      </c>
      <c r="K7" s="970">
        <f>SUMIF('数据-汇总表'!C$19:C$33,A7,'数据-汇总表'!E$19:E$33)</f>
        <v>8062.17</v>
      </c>
      <c r="L7" s="692">
        <v>3200</v>
      </c>
      <c r="M7" s="64">
        <f t="shared" si="0"/>
        <v>2580</v>
      </c>
      <c r="N7" s="690">
        <f>N6</f>
        <v>0.8</v>
      </c>
      <c r="O7" s="64">
        <f t="shared" ref="O7:O14" si="3">IF($N$5="成新度","——",ROUND(M7*N7,0))</f>
        <v>2064</v>
      </c>
      <c r="P7" s="65">
        <f t="shared" ref="P7:P14" si="4">IF($N$5="成新度","——",M7-O7)</f>
        <v>516</v>
      </c>
      <c r="Q7" s="693">
        <v>0.22</v>
      </c>
      <c r="R7" s="66">
        <f ca="1">SUMIF('数据-汇总表'!C$19:C$33,A7,'数据-汇总表'!R$19:R$27)</f>
        <v>7117.84</v>
      </c>
      <c r="S7" s="49">
        <f>IF('数据-汇总表'!$I$17="按面积比例",SUMIF('数据-汇总表'!C$19:C$33,A7,'数据-汇总表'!K$19:K$33),SUMIF('数据-汇总表'!C$19:C$33,A7,'数据-汇总表'!N$19:N$33))</f>
        <v>0</v>
      </c>
      <c r="T7" s="1091">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25798944</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合院</v>
      </c>
      <c r="B8" s="1586" t="str">
        <f t="shared" si="1"/>
        <v>经营性</v>
      </c>
      <c r="C8" s="1587" t="s">
        <v>3388</v>
      </c>
      <c r="D8" s="805">
        <f>SUMIF(项目基本情况!C$12:I$12,C8,项目基本情况!C$14:I$14)</f>
        <v>70</v>
      </c>
      <c r="E8" s="804">
        <f>IF(B8="","",SUMIF(项目基本情况!C$12:I$12,C8,项目基本情况!C$13:I$13))</f>
        <v>63276</v>
      </c>
      <c r="F8" s="61">
        <f>SUMIF(项目基本情况!C$12:I$12,C8,项目基本情况!C$15:I$15)</f>
        <v>48.43</v>
      </c>
      <c r="G8" s="62">
        <f t="shared" si="2"/>
        <v>0.90900000000000003</v>
      </c>
      <c r="H8" s="691">
        <v>0.04</v>
      </c>
      <c r="I8" s="691">
        <v>4.4999999999999998E-2</v>
      </c>
      <c r="J8" s="63">
        <v>7.0000000000000007E-2</v>
      </c>
      <c r="K8" s="970">
        <f>SUMIF('数据-汇总表'!C$19:C$33,A8,'数据-汇总表'!E$19:E$33)</f>
        <v>26809.469999999998</v>
      </c>
      <c r="L8" s="692">
        <f>L7</f>
        <v>3200</v>
      </c>
      <c r="M8" s="64">
        <f>ROUND(K8*L8/10000,0)</f>
        <v>8579</v>
      </c>
      <c r="N8" s="690">
        <f>N6</f>
        <v>0.8</v>
      </c>
      <c r="O8" s="64">
        <f t="shared" si="3"/>
        <v>6863</v>
      </c>
      <c r="P8" s="65">
        <f t="shared" si="4"/>
        <v>1716</v>
      </c>
      <c r="Q8" s="693">
        <v>0.2</v>
      </c>
      <c r="R8" s="66">
        <f ca="1">SUMIF('数据-汇总表'!C$19:C$33,A8,'数据-汇总表'!R$19:R$27)</f>
        <v>23669.24</v>
      </c>
      <c r="S8" s="49">
        <f>IF('数据-汇总表'!$I$17="按面积比例",SUMIF('数据-汇总表'!C$19:C$33,A8,'数据-汇总表'!K$19:K$33),SUMIF('数据-汇总表'!C$19:C$33,A8,'数据-汇总表'!N$19:N$33))</f>
        <v>0</v>
      </c>
      <c r="T8" s="1091">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85790303.999999985</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t="str">
        <f>'数据-汇总表'!C22</f>
        <v>车库</v>
      </c>
      <c r="B9" s="1586" t="str">
        <f t="shared" si="1"/>
        <v>经营性</v>
      </c>
      <c r="C9" s="1587" t="s">
        <v>3327</v>
      </c>
      <c r="D9" s="805">
        <f>SUMIF(项目基本情况!C$12:I$12,C9,项目基本情况!C$14:I$14)</f>
        <v>50</v>
      </c>
      <c r="E9" s="804">
        <f>IF(B9="","",SUMIF(项目基本情况!C$12:I$12,C9,项目基本情况!C$13:I$13))</f>
        <v>55971</v>
      </c>
      <c r="F9" s="61">
        <f>SUMIF(项目基本情况!C$12:I$12,C9,项目基本情况!C$15:I$15)</f>
        <v>28.42</v>
      </c>
      <c r="G9" s="62">
        <f t="shared" si="2"/>
        <v>0.80300000000000005</v>
      </c>
      <c r="H9" s="691">
        <v>4.4999999999999998E-2</v>
      </c>
      <c r="I9" s="691">
        <v>0.05</v>
      </c>
      <c r="J9" s="63">
        <v>7.0000000000000007E-2</v>
      </c>
      <c r="K9" s="970">
        <f>SUMIF('数据-汇总表'!C$19:C$33,A9,'数据-汇总表'!E$19:E$33)</f>
        <v>23852.28</v>
      </c>
      <c r="L9" s="692">
        <f>L7</f>
        <v>3200</v>
      </c>
      <c r="M9" s="64">
        <f t="shared" si="0"/>
        <v>7633</v>
      </c>
      <c r="N9" s="690">
        <f>N6</f>
        <v>0.8</v>
      </c>
      <c r="O9" s="64">
        <f t="shared" si="3"/>
        <v>6106</v>
      </c>
      <c r="P9" s="65">
        <f t="shared" si="4"/>
        <v>1527</v>
      </c>
      <c r="Q9" s="78">
        <v>0.05</v>
      </c>
      <c r="R9" s="66">
        <f ca="1">SUMIF('数据-汇总表'!C$19:C$33,A9,'数据-汇总表'!R$19:R$27)</f>
        <v>21058.43</v>
      </c>
      <c r="S9" s="49">
        <f>IF('数据-汇总表'!$I$17="按面积比例",SUMIF('数据-汇总表'!C$19:C$33,A9,'数据-汇总表'!K$19:K$33),SUMIF('数据-汇总表'!C$19:C$33,A9,'数据-汇总表'!N$19:N$33))</f>
        <v>0</v>
      </c>
      <c r="T9" s="1091">
        <f t="shared" si="5"/>
        <v>0</v>
      </c>
      <c r="U9" s="1549">
        <v>700</v>
      </c>
      <c r="V9" s="67">
        <v>0.02</v>
      </c>
      <c r="W9" s="67">
        <v>0.1</v>
      </c>
      <c r="X9" s="979"/>
      <c r="Y9" s="68">
        <v>1</v>
      </c>
      <c r="Z9" s="69"/>
      <c r="AA9" s="63"/>
      <c r="AB9" s="63"/>
      <c r="AC9" s="979"/>
      <c r="AD9" s="70"/>
      <c r="AE9" s="980">
        <f t="shared" ca="1" si="6"/>
        <v>28.020000000000003</v>
      </c>
      <c r="AF9" s="74"/>
      <c r="AG9" s="130">
        <f t="shared" si="7"/>
        <v>0</v>
      </c>
      <c r="AH9" s="71">
        <f>[3]测绘面积!L53</f>
        <v>499</v>
      </c>
      <c r="AI9" s="73">
        <v>12</v>
      </c>
      <c r="AJ9" s="74"/>
      <c r="AK9" s="75">
        <v>0.01</v>
      </c>
      <c r="AL9" s="76">
        <v>1.5E-3</v>
      </c>
      <c r="AM9" s="77">
        <v>0.01</v>
      </c>
      <c r="AN9" s="1588" t="s">
        <v>3516</v>
      </c>
      <c r="AO9" s="50">
        <f t="shared" ca="1" si="8"/>
        <v>1390</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t="str">
        <f>'数据-汇总表'!C23</f>
        <v>仓储</v>
      </c>
      <c r="B10" s="1586" t="str">
        <f t="shared" si="1"/>
        <v>经营性</v>
      </c>
      <c r="C10" s="1587" t="s">
        <v>3328</v>
      </c>
      <c r="D10" s="805">
        <f>SUMIF(项目基本情况!C$12:I$12,C10,项目基本情况!C$14:I$14)</f>
        <v>50</v>
      </c>
      <c r="E10" s="804">
        <f>IF(B10="","",SUMIF(项目基本情况!C$12:I$12,C10,项目基本情况!C$13:I$13))</f>
        <v>55971</v>
      </c>
      <c r="F10" s="61">
        <f>SUMIF(项目基本情况!C$12:I$12,C10,项目基本情况!C$15:I$15)</f>
        <v>28.42</v>
      </c>
      <c r="G10" s="62">
        <f t="shared" si="2"/>
        <v>0.80300000000000005</v>
      </c>
      <c r="H10" s="691">
        <v>4.4999999999999998E-2</v>
      </c>
      <c r="I10" s="691">
        <v>0.05</v>
      </c>
      <c r="J10" s="63">
        <v>7.0000000000000007E-2</v>
      </c>
      <c r="K10" s="970">
        <f>SUMIF('数据-汇总表'!C$19:C$33,A10,'数据-汇总表'!E$19:E$33)</f>
        <v>8973.9299999999985</v>
      </c>
      <c r="L10" s="692">
        <f>L7</f>
        <v>3200</v>
      </c>
      <c r="M10" s="64">
        <f t="shared" si="0"/>
        <v>2872</v>
      </c>
      <c r="N10" s="690">
        <f>N6</f>
        <v>0.8</v>
      </c>
      <c r="O10" s="64">
        <f t="shared" si="3"/>
        <v>2298</v>
      </c>
      <c r="P10" s="65">
        <f t="shared" si="4"/>
        <v>574</v>
      </c>
      <c r="Q10" s="78">
        <v>0.05</v>
      </c>
      <c r="R10" s="66">
        <f ca="1">SUMIF('数据-汇总表'!C$19:C$33,A10,'数据-汇总表'!R$19:R$27)</f>
        <v>7922.8</v>
      </c>
      <c r="S10" s="49">
        <f>IF('数据-汇总表'!$I$17="按面积比例",SUMIF('数据-汇总表'!C$19:C$33,A10,'数据-汇总表'!K$19:K$33),SUMIF('数据-汇总表'!C$19:C$33,A10,'数据-汇总表'!N$19:N$33))</f>
        <v>0</v>
      </c>
      <c r="T10" s="1091">
        <f t="shared" si="5"/>
        <v>0</v>
      </c>
      <c r="U10" s="1549">
        <v>0.5</v>
      </c>
      <c r="V10" s="67">
        <v>0.02</v>
      </c>
      <c r="W10" s="67">
        <v>0.1</v>
      </c>
      <c r="X10" s="979"/>
      <c r="Y10" s="68">
        <v>1</v>
      </c>
      <c r="Z10" s="69"/>
      <c r="AA10" s="63"/>
      <c r="AB10" s="63"/>
      <c r="AC10" s="979"/>
      <c r="AD10" s="70"/>
      <c r="AE10" s="980">
        <f t="shared" ca="1" si="6"/>
        <v>28.020000000000003</v>
      </c>
      <c r="AF10" s="74"/>
      <c r="AG10" s="130">
        <f t="shared" si="7"/>
        <v>0</v>
      </c>
      <c r="AH10" s="71"/>
      <c r="AI10" s="73">
        <v>365</v>
      </c>
      <c r="AJ10" s="74"/>
      <c r="AK10" s="75">
        <v>0.01</v>
      </c>
      <c r="AL10" s="76">
        <v>1.5E-3</v>
      </c>
      <c r="AM10" s="77">
        <v>0.01</v>
      </c>
      <c r="AN10" s="1588" t="s">
        <v>3516</v>
      </c>
      <c r="AO10" s="50">
        <f t="shared" ca="1" si="8"/>
        <v>1390</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0.88400000000000001</v>
      </c>
      <c r="H16" s="84">
        <f>ROUND(SUMPRODUCT(H6:H13,K6:K13)/SUMPRODUCT((H6:H13&gt;0)*(K6:K13)),3)</f>
        <v>4.1000000000000002E-2</v>
      </c>
      <c r="I16" s="85"/>
      <c r="J16" s="85"/>
      <c r="K16" s="86">
        <f>SUM(K6:K15)</f>
        <v>139467.97</v>
      </c>
      <c r="L16" s="87">
        <f>ROUND(M16*10000/SUM(K6:K14),0)</f>
        <v>3200</v>
      </c>
      <c r="M16" s="87">
        <f>SUM(M6:M14)</f>
        <v>44630</v>
      </c>
      <c r="N16" s="88">
        <f>ROUND(SUMPRODUCT(M6:M14,N6:N14)/M16,3)</f>
        <v>0.8</v>
      </c>
      <c r="O16" s="87">
        <f>SUM(O6:O14)</f>
        <v>35704</v>
      </c>
      <c r="P16" s="87">
        <f>SUM(P6:P14)</f>
        <v>8926</v>
      </c>
      <c r="Q16" s="89">
        <f>ROUND(SUMPRODUCT(Q6:Q13,K6:K13)/SUMPRODUCT((Q6:Q13&gt;0)*(K6:K13)),2)</f>
        <v>0.16</v>
      </c>
      <c r="R16" s="974">
        <f ca="1">SUM(R6:R13)</f>
        <v>123131.89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2295</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2293</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f>ROUND(N16*B20,1)</f>
        <v>1.6</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1.6</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0.39999999999999991</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成本法!C9+成本法!C10</f>
        <v>2363</v>
      </c>
      <c r="C29" s="2561" t="s">
        <v>2286</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0.05</v>
      </c>
      <c r="C33" s="2562" t="s">
        <v>3370</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2287</v>
      </c>
      <c r="D34" s="2457" t="s">
        <v>2294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2288</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2289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0.03</v>
      </c>
      <c r="C38" s="2562" t="s">
        <v>2289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2304</v>
      </c>
      <c r="B40" s="1015">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2298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2299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7" t="s">
        <v>1246</v>
      </c>
      <c r="D53" s="2563" t="s">
        <v>2296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G20" sqref="G20"/>
      <selection pane="topRight" activeCell="G20" sqref="G20"/>
      <selection pane="bottomLeft" activeCell="G20" sqref="G20"/>
      <selection pane="bottomRight" activeCell="C9" sqref="C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8" customFormat="1" ht="18.75" thickBot="1">
      <c r="A1" s="3266" t="s">
        <v>2278</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1"/>
      <c r="I2" s="751"/>
      <c r="J2" s="751"/>
      <c r="K2" s="751"/>
      <c r="L2" s="751"/>
      <c r="M2" s="751"/>
      <c r="N2" s="751"/>
      <c r="O2" s="751"/>
      <c r="P2" s="751"/>
      <c r="Q2" s="751"/>
    </row>
    <row r="3" spans="1:29" ht="25.5">
      <c r="A3" s="2246" t="s">
        <v>2276</v>
      </c>
      <c r="B3" s="2263" t="s">
        <v>2248</v>
      </c>
      <c r="C3" s="3161" t="s">
        <v>3518</v>
      </c>
      <c r="D3" s="2264"/>
      <c r="E3" s="2247" t="s">
        <v>2276</v>
      </c>
      <c r="F3" s="2265" t="s">
        <v>2249</v>
      </c>
      <c r="G3" s="2266" t="s">
        <v>2277</v>
      </c>
      <c r="H3" s="751"/>
      <c r="I3" s="751"/>
      <c r="J3" s="751"/>
      <c r="K3" s="751"/>
      <c r="L3" s="751"/>
      <c r="M3" s="751"/>
      <c r="N3" s="751"/>
      <c r="O3" s="751"/>
      <c r="P3" s="751"/>
      <c r="Q3" s="751"/>
    </row>
    <row r="4" spans="1:29" ht="36">
      <c r="A4" s="2247"/>
      <c r="B4" s="315" t="s">
        <v>2250</v>
      </c>
      <c r="C4" s="2267"/>
      <c r="D4" s="2264"/>
      <c r="E4" s="2268"/>
      <c r="F4" s="1280" t="s">
        <v>2251</v>
      </c>
      <c r="G4" s="2269" t="s">
        <v>2252</v>
      </c>
      <c r="H4" s="751"/>
      <c r="I4" s="751"/>
      <c r="J4" s="751"/>
      <c r="K4" s="751"/>
      <c r="L4" s="751"/>
      <c r="M4" s="751"/>
      <c r="N4" s="751"/>
      <c r="O4" s="751"/>
      <c r="P4" s="751"/>
      <c r="Q4" s="751"/>
    </row>
    <row r="5" spans="1:29" ht="24.75" thickBot="1">
      <c r="A5" s="2247"/>
      <c r="B5" s="315" t="s">
        <v>2253</v>
      </c>
      <c r="C5" s="2267"/>
      <c r="D5" s="2264"/>
      <c r="E5" s="2268"/>
      <c r="F5" s="315" t="s">
        <v>2254</v>
      </c>
      <c r="G5" s="2269" t="s">
        <v>2255</v>
      </c>
      <c r="H5" s="751"/>
      <c r="I5" s="751"/>
      <c r="J5" s="751"/>
      <c r="K5" s="751"/>
      <c r="L5" s="751"/>
      <c r="M5" s="751"/>
      <c r="N5" s="751"/>
      <c r="O5" s="751"/>
      <c r="P5" s="751"/>
      <c r="Q5" s="751"/>
    </row>
    <row r="6" spans="1:29" ht="15" thickBot="1">
      <c r="A6" s="2247"/>
      <c r="B6" s="315" t="s">
        <v>2256</v>
      </c>
      <c r="C6" s="3161" t="s">
        <v>3518</v>
      </c>
      <c r="D6" s="2264"/>
      <c r="E6" s="2268"/>
      <c r="F6" s="315" t="s">
        <v>2257</v>
      </c>
      <c r="G6" s="2269" t="s">
        <v>2258</v>
      </c>
      <c r="H6" s="751"/>
      <c r="I6" s="751"/>
      <c r="J6" s="751"/>
      <c r="K6" s="751"/>
      <c r="L6" s="751"/>
      <c r="M6" s="751"/>
      <c r="N6" s="751"/>
      <c r="O6" s="751"/>
      <c r="P6" s="751"/>
      <c r="Q6" s="751"/>
    </row>
    <row r="7" spans="1:29" ht="24.75" thickBot="1">
      <c r="A7" s="2247"/>
      <c r="B7" s="315" t="s">
        <v>2254</v>
      </c>
      <c r="C7" s="3161" t="s">
        <v>3518</v>
      </c>
      <c r="D7" s="2244"/>
      <c r="E7" s="2270"/>
      <c r="F7" s="2271" t="s">
        <v>2259</v>
      </c>
      <c r="G7" s="2272" t="s">
        <v>2260</v>
      </c>
      <c r="H7" s="751"/>
      <c r="I7" s="751"/>
      <c r="J7" s="751"/>
      <c r="K7" s="751"/>
      <c r="L7" s="751"/>
      <c r="M7" s="751"/>
      <c r="N7" s="751"/>
      <c r="O7" s="751"/>
      <c r="P7" s="751"/>
      <c r="Q7" s="751"/>
    </row>
    <row r="8" spans="1:29" ht="15" thickBot="1">
      <c r="A8" s="2247"/>
      <c r="B8" s="315" t="s">
        <v>2257</v>
      </c>
      <c r="C8" s="3161" t="s">
        <v>3669</v>
      </c>
      <c r="D8" s="2244"/>
      <c r="E8" s="2244"/>
      <c r="F8" s="121"/>
      <c r="G8" s="121"/>
      <c r="H8" s="751"/>
      <c r="I8" s="751"/>
      <c r="J8" s="751"/>
      <c r="K8" s="751"/>
      <c r="L8" s="751"/>
      <c r="M8" s="751"/>
      <c r="N8" s="751"/>
      <c r="O8" s="751"/>
      <c r="P8" s="751"/>
      <c r="Q8" s="751"/>
    </row>
    <row r="9" spans="1:29">
      <c r="A9" s="2247"/>
      <c r="B9" s="315" t="s">
        <v>2261</v>
      </c>
      <c r="C9" s="3161" t="s">
        <v>3518</v>
      </c>
      <c r="D9" s="2264"/>
      <c r="E9" s="2244"/>
      <c r="F9" s="121"/>
      <c r="G9" s="121"/>
      <c r="H9" s="751"/>
      <c r="I9" s="751"/>
      <c r="J9" s="751"/>
      <c r="K9" s="751"/>
      <c r="L9" s="751"/>
      <c r="M9" s="751"/>
      <c r="N9" s="751"/>
      <c r="O9" s="751"/>
      <c r="P9" s="751"/>
      <c r="Q9" s="751"/>
    </row>
    <row r="10" spans="1:29" ht="15" thickBot="1">
      <c r="A10" s="2248"/>
      <c r="B10" s="2273" t="s">
        <v>2262</v>
      </c>
      <c r="C10" s="3162" t="s">
        <v>3519</v>
      </c>
      <c r="D10" s="2264"/>
      <c r="E10" s="2264"/>
      <c r="F10" s="121"/>
      <c r="G10" s="121"/>
      <c r="J10" s="2275"/>
      <c r="M10" s="2275"/>
      <c r="P10" s="2275"/>
      <c r="R10" s="2274"/>
    </row>
    <row r="11" spans="1:29">
      <c r="A11" s="2276"/>
      <c r="B11" s="2244"/>
      <c r="C11" s="2264"/>
      <c r="D11" s="2264"/>
      <c r="E11" s="2264"/>
      <c r="F11" s="2244"/>
      <c r="G11" s="2244"/>
      <c r="J11" s="2275"/>
      <c r="M11" s="2275"/>
      <c r="P11" s="2275"/>
      <c r="R11" s="2274"/>
    </row>
    <row r="12" spans="1:29" s="2258" customFormat="1" ht="18">
      <c r="A12" s="2276"/>
      <c r="B12" s="2244"/>
      <c r="C12" s="2264"/>
      <c r="D12" s="2277"/>
      <c r="E12" s="2264"/>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2279</v>
      </c>
      <c r="B13" s="2277"/>
      <c r="C13" s="2277"/>
      <c r="D13" s="2276"/>
      <c r="E13" s="2277"/>
      <c r="F13" s="2277"/>
      <c r="G13" s="2277"/>
    </row>
    <row r="14" spans="1:29" ht="15" thickBot="1">
      <c r="A14" s="2282"/>
      <c r="B14" s="2282"/>
      <c r="C14" s="2283" t="s">
        <v>2263</v>
      </c>
      <c r="D14" s="2264"/>
      <c r="E14" s="2284"/>
      <c r="F14" s="2284"/>
      <c r="G14" s="2261" t="s">
        <v>2264</v>
      </c>
    </row>
    <row r="15" spans="1:29" ht="25.5">
      <c r="A15" s="2249" t="s">
        <v>2265</v>
      </c>
      <c r="B15" s="2285" t="s">
        <v>2248</v>
      </c>
      <c r="C15" s="2286" t="str">
        <f>C3</f>
        <v>一般</v>
      </c>
      <c r="D15" s="2264"/>
      <c r="E15" s="2250" t="s">
        <v>2266</v>
      </c>
      <c r="F15" s="2285" t="s">
        <v>2267</v>
      </c>
      <c r="G15" s="2287" t="str">
        <f>G3</f>
        <v>估价对象位于XX开发区，园区建设成熟度XX，产业集聚程度XX</v>
      </c>
    </row>
    <row r="16" spans="1:29" ht="38.25">
      <c r="A16" s="2251"/>
      <c r="B16" s="2288" t="s">
        <v>2250</v>
      </c>
      <c r="C16" s="2289">
        <f>C4</f>
        <v>0</v>
      </c>
      <c r="D16" s="2264"/>
      <c r="E16" s="2252"/>
      <c r="F16" s="2290" t="s">
        <v>2251</v>
      </c>
      <c r="G16" s="2291" t="str">
        <f>G4</f>
        <v>估价对象周边道路状况、公共交通通达情况、停车便捷程度，综合评价交通便捷度较好</v>
      </c>
    </row>
    <row r="17" spans="1:17">
      <c r="A17" s="2251"/>
      <c r="B17" s="2288" t="s">
        <v>2253</v>
      </c>
      <c r="C17" s="2289">
        <f>C5</f>
        <v>0</v>
      </c>
      <c r="D17" s="2244"/>
      <c r="E17" s="2252"/>
      <c r="F17" s="2290" t="s">
        <v>2268</v>
      </c>
      <c r="G17" s="2292"/>
    </row>
    <row r="18" spans="1:17" ht="25.5">
      <c r="A18" s="2251"/>
      <c r="B18" s="2290" t="s">
        <v>2256</v>
      </c>
      <c r="C18" s="2291" t="str">
        <f>C6</f>
        <v>一般</v>
      </c>
      <c r="D18" s="2244"/>
      <c r="E18" s="2252"/>
      <c r="F18" s="2290" t="s">
        <v>2259</v>
      </c>
      <c r="G18" s="2291" t="str">
        <f>G7</f>
        <v>该园区内是否有污染型企业，绿化情况，卫生条件，整体环境状况判断</v>
      </c>
    </row>
    <row r="19" spans="1:17" ht="25.5">
      <c r="A19" s="2251"/>
      <c r="B19" s="2290" t="s">
        <v>2269</v>
      </c>
      <c r="C19" s="2292"/>
      <c r="D19" s="2264"/>
      <c r="E19" s="2252"/>
      <c r="F19" s="315" t="s">
        <v>2254</v>
      </c>
      <c r="G19" s="2291" t="str">
        <f>G5</f>
        <v>估价对象所在区域公共配套设施齐备情况</v>
      </c>
    </row>
    <row r="20" spans="1:17">
      <c r="A20" s="2251"/>
      <c r="B20" s="2290" t="s">
        <v>2270</v>
      </c>
      <c r="C20" s="2289" t="str">
        <f>C9</f>
        <v>一般</v>
      </c>
      <c r="D20" s="2244"/>
      <c r="E20" s="2252"/>
      <c r="F20" s="315" t="s">
        <v>2257</v>
      </c>
      <c r="G20" s="2291" t="str">
        <f>G6</f>
        <v>估价对象所在区域基础设施水平</v>
      </c>
    </row>
    <row r="21" spans="1:17">
      <c r="A21" s="2251"/>
      <c r="B21" s="315" t="s">
        <v>2254</v>
      </c>
      <c r="C21" s="2291" t="str">
        <f>C7</f>
        <v>一般</v>
      </c>
      <c r="D21" s="2264"/>
      <c r="E21" s="2252"/>
      <c r="F21" s="2290" t="s">
        <v>2271</v>
      </c>
      <c r="G21" s="2293"/>
    </row>
    <row r="22" spans="1:17" ht="13.5" customHeight="1">
      <c r="A22" s="2251"/>
      <c r="B22" s="315" t="s">
        <v>2257</v>
      </c>
      <c r="C22" s="2291" t="str">
        <f>C8</f>
        <v>七通</v>
      </c>
      <c r="D22" s="2264"/>
      <c r="E22" s="2252"/>
      <c r="F22" s="2290" t="s">
        <v>2262</v>
      </c>
      <c r="G22" s="2292"/>
    </row>
    <row r="23" spans="1:17" s="751" customFormat="1" ht="15" thickBot="1">
      <c r="A23" s="2251"/>
      <c r="B23" s="2290" t="s">
        <v>2271</v>
      </c>
      <c r="C23" s="2293"/>
      <c r="D23" s="1613"/>
      <c r="E23" s="2253"/>
      <c r="F23" s="2294" t="s">
        <v>2272</v>
      </c>
      <c r="G23" s="2295"/>
      <c r="H23" s="2274"/>
      <c r="I23" s="2274"/>
      <c r="J23" s="2274"/>
      <c r="K23" s="2274"/>
      <c r="L23" s="2274"/>
      <c r="M23" s="2274"/>
      <c r="N23" s="2274"/>
      <c r="O23" s="2274"/>
      <c r="P23" s="2274"/>
      <c r="Q23" s="2274"/>
    </row>
    <row r="24" spans="1:17" s="751" customFormat="1" ht="15" thickBot="1">
      <c r="A24" s="2254"/>
      <c r="B24" s="2294" t="s">
        <v>2273</v>
      </c>
      <c r="C24" s="2296" t="str">
        <f>C10</f>
        <v>次干道-南环南路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139467.97</v>
      </c>
      <c r="C1" s="2459"/>
      <c r="D1" s="2459"/>
      <c r="E1" s="2459"/>
      <c r="F1" s="2459"/>
      <c r="G1" s="2460"/>
      <c r="H1" s="2460"/>
      <c r="I1" s="2460"/>
      <c r="J1" s="2460"/>
      <c r="K1" s="2460"/>
    </row>
    <row r="2" spans="1:11" ht="16.5">
      <c r="A2" s="2297" t="s">
        <v>653</v>
      </c>
      <c r="B2" s="2297">
        <f>SUM(C14:C23)</f>
        <v>123131.88</v>
      </c>
      <c r="C2" s="2459"/>
      <c r="D2" s="2459"/>
      <c r="E2" s="2459"/>
      <c r="F2" s="2459"/>
      <c r="G2" s="2460"/>
      <c r="H2" s="2460"/>
      <c r="I2" s="2460"/>
      <c r="J2" s="2460"/>
      <c r="K2" s="2460"/>
    </row>
    <row r="3" spans="1:11" ht="16.5">
      <c r="A3" s="2297" t="s">
        <v>662</v>
      </c>
      <c r="B3" s="2299">
        <f>项目基本情况!D3</f>
        <v>45596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392351</v>
      </c>
      <c r="C5" s="2297">
        <f ca="1">IF(B5=D14,结果表!H102,ROUND(B5*10000/$B$1,0))</f>
        <v>28132</v>
      </c>
      <c r="D5" s="2297">
        <f ca="1">ROUND(B5*10000/$B$2,0)</f>
        <v>31864</v>
      </c>
      <c r="E5" s="2459"/>
      <c r="F5" s="2460"/>
      <c r="G5" s="2460"/>
      <c r="H5" s="2460"/>
      <c r="I5" s="2460"/>
      <c r="J5" s="2460"/>
      <c r="K5" s="2460"/>
    </row>
    <row r="6" spans="1:11" ht="16.5">
      <c r="A6" s="2297" t="s">
        <v>656</v>
      </c>
      <c r="B6" s="2297">
        <f>SUM(G14:G23)</f>
        <v>0</v>
      </c>
      <c r="C6" s="2297">
        <f ca="1">IF(B6=G14,结果表!H108,ROUND(B6*10000/$B$1,0))</f>
        <v>28132</v>
      </c>
      <c r="D6" s="2297">
        <f>ROUND(B6*10000/$B$2,0)</f>
        <v>0</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3350</v>
      </c>
      <c r="D10" s="2297" t="s">
        <v>3351</v>
      </c>
      <c r="E10" s="3134"/>
      <c r="F10" s="3138" t="s">
        <v>3352</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结果表!B118</f>
        <v>139467.97</v>
      </c>
      <c r="C14" s="2303">
        <f>结果表!C118</f>
        <v>123131.88</v>
      </c>
      <c r="D14" s="2303">
        <f ca="1">结果表!H118</f>
        <v>392351</v>
      </c>
      <c r="E14" s="2303">
        <f ca="1">ROUND(D14*10000/B14,0)</f>
        <v>28132</v>
      </c>
      <c r="F14" s="2303">
        <f ca="1">ROUND(D14*10000/C14,0)</f>
        <v>31864</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北京市昌平区南金路7号院出让国有建设用地使用权及在建建筑物房地产市场价值预评估</v>
      </c>
      <c r="C37" s="3173"/>
      <c r="D37" s="3173"/>
      <c r="E37" s="3173"/>
      <c r="F37" s="3173"/>
      <c r="G37" s="3173"/>
      <c r="H37" s="3173"/>
      <c r="I37" s="317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t="s">
        <v>3726</v>
      </c>
      <c r="H1" s="1620" t="str">
        <f>IF(G1="现房","——","估价对象范围")</f>
        <v>估价对象范围</v>
      </c>
      <c r="I1" s="1621" t="s">
        <v>3727</v>
      </c>
    </row>
    <row r="2" spans="1:12" ht="21.75" customHeight="1" thickBot="1">
      <c r="A2" s="3302" t="str">
        <f>项目基本情况!S2</f>
        <v>北京市昌平区南金路7号院出让国有建设用地使用权及在建建筑物房地产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3" t="s">
        <v>1265</v>
      </c>
      <c r="B4" s="1624" t="s">
        <v>1266</v>
      </c>
      <c r="C4" s="1625" t="s">
        <v>3724</v>
      </c>
      <c r="D4" s="1625" t="s">
        <v>3725</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82" t="s">
        <v>1268</v>
      </c>
      <c r="B5" s="3269">
        <v>25</v>
      </c>
      <c r="C5" s="3285"/>
      <c r="D5" s="3305"/>
      <c r="E5" s="123" t="s">
        <v>1269</v>
      </c>
      <c r="F5" s="1626"/>
      <c r="G5" s="1626"/>
      <c r="H5" s="1626"/>
      <c r="I5" s="1280"/>
    </row>
    <row r="6" spans="1:12" ht="12.75">
      <c r="A6" s="3282"/>
      <c r="B6" s="3269"/>
      <c r="C6" s="3286"/>
      <c r="D6" s="3305"/>
      <c r="E6" s="123" t="s">
        <v>1270</v>
      </c>
      <c r="F6" s="1626"/>
      <c r="G6" s="1626"/>
      <c r="H6" s="1626"/>
      <c r="I6" s="1280"/>
    </row>
    <row r="7" spans="1:12" ht="12.75">
      <c r="A7" s="3282"/>
      <c r="B7" s="3269"/>
      <c r="C7" s="3287"/>
      <c r="D7" s="3305"/>
      <c r="E7" s="123" t="s">
        <v>1271</v>
      </c>
      <c r="F7" s="1626"/>
      <c r="G7" s="1626"/>
      <c r="H7" s="1626"/>
      <c r="I7" s="1280"/>
    </row>
    <row r="8" spans="1:12" ht="12.75">
      <c r="A8" s="3282" t="s">
        <v>1272</v>
      </c>
      <c r="B8" s="3269">
        <v>15</v>
      </c>
      <c r="C8" s="3285"/>
      <c r="D8" s="3305"/>
      <c r="E8" s="123" t="s">
        <v>1273</v>
      </c>
      <c r="F8" s="1626"/>
      <c r="G8" s="1626"/>
      <c r="H8" s="1626"/>
      <c r="I8" s="1280"/>
    </row>
    <row r="9" spans="1:12" ht="12.75">
      <c r="A9" s="3282"/>
      <c r="B9" s="3269"/>
      <c r="C9" s="3287"/>
      <c r="D9" s="3305"/>
      <c r="E9" s="123" t="s">
        <v>1274</v>
      </c>
      <c r="F9" s="1626"/>
      <c r="G9" s="1626"/>
      <c r="H9" s="1626"/>
      <c r="I9" s="1280"/>
    </row>
    <row r="10" spans="1:12" ht="12.75">
      <c r="A10" s="3282" t="s">
        <v>1275</v>
      </c>
      <c r="B10" s="3269">
        <v>15</v>
      </c>
      <c r="C10" s="3285"/>
      <c r="D10" s="3305"/>
      <c r="E10" s="123" t="s">
        <v>1276</v>
      </c>
      <c r="F10" s="1626"/>
      <c r="G10" s="1626"/>
      <c r="H10" s="1626"/>
      <c r="I10" s="1280"/>
    </row>
    <row r="11" spans="1:12" ht="12.75">
      <c r="A11" s="3282"/>
      <c r="B11" s="3269"/>
      <c r="C11" s="3287"/>
      <c r="D11" s="3305"/>
      <c r="E11" s="123" t="s">
        <v>1277</v>
      </c>
      <c r="F11" s="1626"/>
      <c r="G11" s="1626"/>
      <c r="H11" s="1626"/>
      <c r="I11" s="1280"/>
    </row>
    <row r="12" spans="1:12" ht="12.75">
      <c r="A12" s="3282" t="s">
        <v>1278</v>
      </c>
      <c r="B12" s="3269">
        <v>15</v>
      </c>
      <c r="C12" s="3285"/>
      <c r="D12" s="3305"/>
      <c r="E12" s="123" t="s">
        <v>1279</v>
      </c>
      <c r="F12" s="1626"/>
      <c r="G12" s="1626"/>
      <c r="H12" s="1626"/>
      <c r="I12" s="1280"/>
    </row>
    <row r="13" spans="1:12" ht="12.75">
      <c r="A13" s="3282"/>
      <c r="B13" s="3269"/>
      <c r="C13" s="3287"/>
      <c r="D13" s="3305"/>
      <c r="E13" s="123" t="s">
        <v>1280</v>
      </c>
      <c r="F13" s="1626"/>
      <c r="G13" s="1626"/>
      <c r="H13" s="1626"/>
      <c r="I13" s="1280"/>
    </row>
    <row r="14" spans="1:12" ht="12.75">
      <c r="A14" s="3282" t="s">
        <v>1281</v>
      </c>
      <c r="B14" s="3269">
        <v>30</v>
      </c>
      <c r="C14" s="3285">
        <v>5</v>
      </c>
      <c r="D14" s="3305">
        <v>5</v>
      </c>
      <c r="E14" s="123" t="s">
        <v>1282</v>
      </c>
      <c r="F14" s="1626"/>
      <c r="G14" s="1626"/>
      <c r="H14" s="1626"/>
      <c r="I14" s="1280"/>
    </row>
    <row r="15" spans="1:12" ht="12.75">
      <c r="A15" s="3282"/>
      <c r="B15" s="3269"/>
      <c r="C15" s="3286"/>
      <c r="D15" s="3305"/>
      <c r="E15" s="123" t="s">
        <v>1283</v>
      </c>
      <c r="F15" s="1626"/>
      <c r="G15" s="1626"/>
      <c r="H15" s="1626"/>
      <c r="I15" s="1280"/>
    </row>
    <row r="16" spans="1:12" ht="12.75">
      <c r="A16" s="3282"/>
      <c r="B16" s="3269"/>
      <c r="C16" s="3287"/>
      <c r="D16" s="3305"/>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92" t="s">
        <v>2127</v>
      </c>
      <c r="F18" s="3293"/>
      <c r="G18" s="3293"/>
      <c r="H18" s="3293"/>
      <c r="I18" s="3293"/>
      <c r="K18" s="294" t="s">
        <v>1289</v>
      </c>
      <c r="L18" s="294">
        <f>IF(C1="",'数据-汇总表'!E3,SUMIF(项目类型,C1,'数据-汇总表'!E17:E26)+SUMIF(项目类型,C1,'数据-汇总表'!I17:I26))</f>
        <v>139467.97</v>
      </c>
      <c r="M18" s="294">
        <f>IF(C1="",'数据-汇总表'!E3,SUMIF(项目类型,C1,'数据-汇总表'!E17:E26))</f>
        <v>139467.97</v>
      </c>
    </row>
    <row r="19" spans="1:36" ht="15">
      <c r="A19" s="1629" t="s">
        <v>1290</v>
      </c>
      <c r="B19" s="1630" t="s">
        <v>1291</v>
      </c>
      <c r="C19" s="126">
        <f ca="1">SUMIF(INDIRECT("'"&amp;C4&amp;"'"&amp;"!A:A"),结果表!B19,INDIRECT("'"&amp;C4&amp;"'"&amp;"!B:B"))</f>
        <v>433363</v>
      </c>
      <c r="D19" s="127">
        <f ca="1">SUMIF(INDIRECT("'"&amp;D4&amp;"'"&amp;"!A:A"),结果表!B19,INDIRECT("'"&amp;D4&amp;"'"&amp;"!B:B"))</f>
        <v>351339</v>
      </c>
      <c r="E19" s="1629" t="s">
        <v>1292</v>
      </c>
      <c r="F19" s="1630" t="s">
        <v>1291</v>
      </c>
      <c r="G19" s="128">
        <f ca="1">ROUND(C19*$C$18+D19*$D$18,0)</f>
        <v>392351</v>
      </c>
      <c r="H19" s="1631" t="s">
        <v>1293</v>
      </c>
      <c r="I19" s="121"/>
      <c r="K19" s="294" t="s">
        <v>1294</v>
      </c>
      <c r="L19" s="294">
        <f>IF(C1="",'数据-汇总表'!D3,SUMIF(项目类型,C1,'数据-汇总表'!D17:D26)+SUMIF(项目类型,C1,'数据-汇总表'!H17:H27))</f>
        <v>123131.88</v>
      </c>
      <c r="M19" s="294">
        <f>IF(C1="",'数据-汇总表'!D3,SUMIF(项目类型,C1,'数据-汇总表'!D17:D26))</f>
        <v>123131.88</v>
      </c>
    </row>
    <row r="20" spans="1:36" ht="15">
      <c r="A20" s="1632"/>
      <c r="B20" s="43" t="s">
        <v>1295</v>
      </c>
      <c r="C20" s="129">
        <f ca="1">SUMIF(INDIRECT("'"&amp;C4&amp;"'"&amp;"!A:A"),结果表!B20,INDIRECT("'"&amp;C4&amp;"'"&amp;"!B:B"))</f>
        <v>31073</v>
      </c>
      <c r="D20" s="130">
        <f ca="1">SUMIF(INDIRECT("'"&amp;D4&amp;"'"&amp;"!A:A"),结果表!B20,INDIRECT("'"&amp;D4&amp;"'"&amp;"!B:B"))</f>
        <v>25191</v>
      </c>
      <c r="E20" s="1632"/>
      <c r="F20" s="43" t="s">
        <v>1295</v>
      </c>
      <c r="G20" s="131">
        <f ca="1">ROUND(C20*$C$18+D20*$D$18,0)</f>
        <v>28132</v>
      </c>
      <c r="H20" s="760" t="s">
        <v>1296</v>
      </c>
      <c r="I20" s="121"/>
    </row>
    <row r="21" spans="1:36" ht="15" customHeight="1" thickBot="1">
      <c r="A21" s="449"/>
      <c r="B21" s="93" t="s">
        <v>1297</v>
      </c>
      <c r="C21" s="678">
        <f ca="1">ROUND(C19*10000/L19,0)</f>
        <v>35195</v>
      </c>
      <c r="D21" s="679">
        <f ca="1">ROUND(D19*10000/L19,0)</f>
        <v>28534</v>
      </c>
      <c r="E21" s="449"/>
      <c r="F21" s="93" t="s">
        <v>1297</v>
      </c>
      <c r="G21" s="132">
        <f ca="1">ROUND(G19*10000/L19,0)</f>
        <v>31864</v>
      </c>
      <c r="H21" s="1633" t="s">
        <v>1296</v>
      </c>
      <c r="I21" s="121"/>
    </row>
    <row r="22" spans="1:36" ht="15" thickBot="1">
      <c r="A22" s="1563" t="s">
        <v>1298</v>
      </c>
      <c r="B22" s="1634"/>
      <c r="C22" s="1635"/>
      <c r="D22" s="680">
        <f ca="1">IF(C19&lt;D19,D19/C19-1,C19/D19-1)</f>
        <v>0.23346113013357472</v>
      </c>
      <c r="E22" s="121"/>
      <c r="F22" s="121"/>
      <c r="G22" s="121"/>
      <c r="H22" s="121"/>
      <c r="I22" s="121"/>
    </row>
    <row r="23" spans="1:36" ht="13.5" thickBot="1">
      <c r="A23" s="646"/>
      <c r="B23" s="646"/>
      <c r="C23" s="646"/>
      <c r="D23" s="646"/>
      <c r="E23" s="121"/>
      <c r="F23" s="121"/>
      <c r="G23" s="121"/>
      <c r="H23" s="121"/>
      <c r="I23" s="121"/>
    </row>
    <row r="24" spans="1:36" ht="14.25">
      <c r="A24" s="3276" t="s">
        <v>1299</v>
      </c>
      <c r="B24" s="1630" t="s">
        <v>1291</v>
      </c>
      <c r="C24" s="128">
        <f>IF(B30=0,0,D30)</f>
        <v>0</v>
      </c>
      <c r="D24" s="1636"/>
      <c r="E24" s="121"/>
      <c r="F24" s="121"/>
      <c r="G24" s="121"/>
      <c r="H24" s="121"/>
      <c r="I24" s="121"/>
    </row>
    <row r="25" spans="1:36" ht="14.25">
      <c r="A25" s="327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5" customHeight="1" thickTop="1" thickBot="1">
      <c r="A31" s="2127"/>
      <c r="B31" s="2128"/>
      <c r="C31" s="2128"/>
      <c r="D31" s="2128"/>
      <c r="E31" s="2128"/>
      <c r="F31" s="2128"/>
      <c r="G31" s="2128"/>
      <c r="H31" s="2128"/>
      <c r="I31" s="2129" t="s">
        <v>2129</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392351</v>
      </c>
      <c r="D32" s="1640" t="s">
        <v>3728</v>
      </c>
      <c r="E32" s="121"/>
      <c r="F32" s="121"/>
      <c r="G32" s="121"/>
      <c r="H32" s="121"/>
      <c r="I32" s="121"/>
    </row>
    <row r="33" spans="1:15" ht="15">
      <c r="A33" s="740" t="s">
        <v>1306</v>
      </c>
      <c r="B33" s="123"/>
      <c r="C33" s="1641" t="s">
        <v>3729</v>
      </c>
      <c r="D33" s="1642" t="s">
        <v>3724</v>
      </c>
      <c r="E33" s="1643" t="s">
        <v>1307</v>
      </c>
      <c r="F33" s="1644" t="str">
        <f>IF(D32="楼面单价","取值（单价）","取值（总价）")</f>
        <v>取值（总价）</v>
      </c>
      <c r="G33" s="121"/>
      <c r="H33" s="121"/>
      <c r="I33" s="121"/>
    </row>
    <row r="34" spans="1:15" ht="15">
      <c r="A34" s="1645"/>
      <c r="B34" s="1646" t="s">
        <v>1308</v>
      </c>
      <c r="C34" s="140">
        <f ca="1">IF(C33="自定义",F34,C32-C35)</f>
        <v>342130</v>
      </c>
      <c r="D34" s="808">
        <f ca="1">IF(C33="自定义",ROUND(C34/C32,3),IF(C33="收益比率",SUMIF(INDIRECT("'"&amp;D33&amp;"'"&amp;"!b:b"),"土地收益比率",INDIRECT("'"&amp;D33&amp;"'"&amp;"!c:c")),SUMIF(INDIRECT("'"&amp;D33&amp;"'"&amp;"!b:b"),"土地成本比率",INDIRECT("'"&amp;D33&amp;"'"&amp;"!c:c"))))</f>
        <v>0.872</v>
      </c>
      <c r="E34" s="1647" t="s">
        <v>1309</v>
      </c>
      <c r="F34" s="1242"/>
      <c r="G34" s="121"/>
      <c r="H34" s="121"/>
      <c r="I34" s="121"/>
    </row>
    <row r="35" spans="1:15" ht="15.75" thickBot="1">
      <c r="A35" s="1648"/>
      <c r="B35" s="1649" t="s">
        <v>1310</v>
      </c>
      <c r="C35" s="1089">
        <f ca="1">IF(C33="自定义",F35,ROUND(C32*D35,0))</f>
        <v>50221</v>
      </c>
      <c r="D35" s="1090">
        <f ca="1">IF(C33="自定义",ROUND(C35/C32,3),IF(C33="收益比率",SUMIF(INDIRECT("'"&amp;D33&amp;"'"&amp;"!b:b"),"建筑物收益比率",INDIRECT("'"&amp;D33&amp;"'"&amp;"!c:c")),SUMIF(INDIRECT("'"&amp;D33&amp;"'"&amp;"!b:b"),"建筑物成本比率",INDIRECT("'"&amp;D33&amp;"'"&amp;"!c:c"))))</f>
        <v>0.128</v>
      </c>
      <c r="E35" s="1650" t="s">
        <v>1311</v>
      </c>
      <c r="F35" s="146"/>
      <c r="G35" s="121"/>
      <c r="H35" s="121"/>
      <c r="I35" s="121"/>
    </row>
    <row r="36" spans="1:15" ht="15.75" thickBot="1">
      <c r="A36" s="3296" t="s">
        <v>1312</v>
      </c>
      <c r="B36" s="1651" t="s">
        <v>1313</v>
      </c>
      <c r="C36" s="137"/>
      <c r="D36" s="1652"/>
      <c r="E36" s="1566"/>
      <c r="F36" s="1653"/>
      <c r="G36" s="121"/>
      <c r="H36" s="121"/>
      <c r="I36" s="121"/>
    </row>
    <row r="37" spans="1:15" ht="15.75" thickBot="1">
      <c r="A37" s="3297"/>
      <c r="B37" s="1554" t="s">
        <v>1314</v>
      </c>
      <c r="C37" s="139"/>
      <c r="D37" s="1070"/>
      <c r="E37" s="1070"/>
      <c r="F37" s="1653"/>
      <c r="G37" s="121"/>
      <c r="H37" s="121"/>
      <c r="I37" s="121"/>
    </row>
    <row r="38" spans="1:15" ht="15.75" thickBot="1">
      <c r="A38" s="3298"/>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3" t="s">
        <v>1326</v>
      </c>
      <c r="B45" s="3274"/>
      <c r="C45" s="3275"/>
      <c r="D45" s="147">
        <f ca="1">ROUND(H101*F45,0)</f>
        <v>392351</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7"/>
      <c r="I46" s="151"/>
      <c r="J46" s="2307">
        <v>1</v>
      </c>
      <c r="K46" s="3332" t="s">
        <v>1331</v>
      </c>
      <c r="L46" s="3332"/>
      <c r="M46" s="3352"/>
      <c r="N46" s="3352"/>
      <c r="O46" s="3352"/>
    </row>
    <row r="47" spans="1:15" ht="12" customHeight="1">
      <c r="A47" s="152" t="s">
        <v>1332</v>
      </c>
      <c r="B47" s="153"/>
      <c r="C47" s="154"/>
      <c r="D47" s="1024" t="s">
        <v>1333</v>
      </c>
      <c r="E47" s="294" t="s">
        <v>1334</v>
      </c>
      <c r="F47" s="155" t="s">
        <v>1335</v>
      </c>
      <c r="G47" s="2330" t="s">
        <v>1336</v>
      </c>
      <c r="H47" s="2331"/>
      <c r="I47" s="151"/>
      <c r="J47" s="2307">
        <v>2</v>
      </c>
      <c r="K47" s="3332" t="s">
        <v>1337</v>
      </c>
      <c r="L47" s="3332"/>
      <c r="M47" s="3353">
        <f>'数据-取费表'!B2</f>
        <v>45596</v>
      </c>
      <c r="N47" s="3353"/>
      <c r="O47" s="3353"/>
    </row>
    <row r="48" spans="1:15" ht="25.5">
      <c r="A48" s="3301" t="s">
        <v>1338</v>
      </c>
      <c r="B48" s="3284"/>
      <c r="C48" s="3284"/>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32" t="s">
        <v>1340</v>
      </c>
      <c r="L48" s="3332"/>
      <c r="M48" s="3354">
        <f ca="1">H101</f>
        <v>392351</v>
      </c>
      <c r="N48" s="3354"/>
      <c r="O48" s="3354"/>
    </row>
    <row r="49" spans="1:35" ht="25.5" customHeight="1">
      <c r="A49" s="2151" t="s">
        <v>1341</v>
      </c>
      <c r="B49" s="3268" t="s">
        <v>1342</v>
      </c>
      <c r="C49" s="3268"/>
      <c r="D49" s="1477">
        <v>0</v>
      </c>
      <c r="E49" s="316" t="s">
        <v>1343</v>
      </c>
      <c r="F49" s="2232" t="s">
        <v>28</v>
      </c>
      <c r="G49" s="3338"/>
      <c r="H49" s="2133" t="s">
        <v>2130</v>
      </c>
      <c r="I49" s="2134"/>
      <c r="J49" s="2307">
        <v>4</v>
      </c>
      <c r="K49" s="3332" t="str">
        <f>IF(项目基本情况!E8="房地产抵押价值","房地产抵押价值","抵押担保权已注销时的房地产抵押价值")</f>
        <v>抵押担保权已注销时的房地产抵押价值</v>
      </c>
      <c r="L49" s="3332"/>
      <c r="M49" s="3354" t="str">
        <f>IF(项目基本情况!E8="房地产抵押价值",H107,H109)</f>
        <v>——</v>
      </c>
      <c r="N49" s="3354"/>
      <c r="O49" s="3354"/>
    </row>
    <row r="50" spans="1:35" ht="25.5" customHeight="1">
      <c r="A50" s="2335"/>
      <c r="B50" s="3268" t="s">
        <v>1344</v>
      </c>
      <c r="C50" s="3268"/>
      <c r="D50" s="2188"/>
      <c r="E50" s="323"/>
      <c r="F50" s="2232"/>
      <c r="G50" s="3339"/>
      <c r="H50" s="2135" t="s">
        <v>2131</v>
      </c>
      <c r="I50" s="2134"/>
      <c r="J50" s="3351" t="s">
        <v>1345</v>
      </c>
      <c r="K50" s="3351"/>
      <c r="L50" s="3351"/>
      <c r="M50" s="3351"/>
      <c r="N50" s="3351"/>
      <c r="O50" s="3351"/>
    </row>
    <row r="51" spans="1:35" ht="20.45" customHeight="1">
      <c r="A51" s="2336"/>
      <c r="B51" s="3268" t="s">
        <v>1346</v>
      </c>
      <c r="C51" s="3268"/>
      <c r="D51" s="1024"/>
      <c r="E51" s="319"/>
      <c r="F51" s="2232"/>
      <c r="G51" s="3340"/>
      <c r="H51" s="2135" t="s">
        <v>2132</v>
      </c>
      <c r="I51" s="2134"/>
      <c r="J51" s="2308" t="s">
        <v>1347</v>
      </c>
      <c r="K51" s="3332" t="s">
        <v>1348</v>
      </c>
      <c r="L51" s="3332"/>
      <c r="M51" s="2308" t="s">
        <v>1349</v>
      </c>
      <c r="N51" s="2308" t="s">
        <v>1350</v>
      </c>
      <c r="O51" s="2308" t="s">
        <v>1351</v>
      </c>
    </row>
    <row r="52" spans="1:35" ht="24" customHeight="1">
      <c r="A52" s="2152" t="s">
        <v>1352</v>
      </c>
      <c r="B52" s="3268" t="s">
        <v>1353</v>
      </c>
      <c r="C52" s="3268"/>
      <c r="D52" s="1024">
        <f ca="1">ROUND(D45*'数据-取费表'!B41/(1+'数据-取费表'!C42),0)</f>
        <v>20552</v>
      </c>
      <c r="E52" s="1255" t="s">
        <v>1354</v>
      </c>
      <c r="F52" s="2337">
        <f>'数据-取费表'!B41</f>
        <v>5.5000000000000007E-2</v>
      </c>
      <c r="G52" s="2338"/>
      <c r="H52" s="2328"/>
      <c r="I52" s="1668"/>
      <c r="J52" s="2307">
        <v>1</v>
      </c>
      <c r="K52" s="3333" t="s">
        <v>1355</v>
      </c>
      <c r="L52" s="3333"/>
      <c r="M52" s="2309" t="b">
        <f>D48</f>
        <v>0</v>
      </c>
      <c r="N52" s="2307" t="str">
        <f>E48</f>
        <v>销售额×税（费）率</v>
      </c>
      <c r="O52" s="2310">
        <f>F48</f>
        <v>5.5000000000000007E-2</v>
      </c>
    </row>
    <row r="53" spans="1:35" ht="12" customHeight="1">
      <c r="A53" s="2152" t="s">
        <v>1356</v>
      </c>
      <c r="B53" s="3294" t="s">
        <v>2283</v>
      </c>
      <c r="C53" s="3295"/>
      <c r="D53" s="1024">
        <f ca="1">ROUND(D45*'数据-取费表'!B41/(1+'数据-取费表'!C42),0)</f>
        <v>20552</v>
      </c>
      <c r="E53" s="1255" t="s">
        <v>1354</v>
      </c>
      <c r="F53" s="2337">
        <f>'数据-取费表'!B41</f>
        <v>5.5000000000000007E-2</v>
      </c>
      <c r="G53" s="2338"/>
      <c r="H53" s="2328"/>
      <c r="I53" s="1668"/>
      <c r="J53" s="2307">
        <v>2</v>
      </c>
      <c r="K53" s="3333" t="s">
        <v>1357</v>
      </c>
      <c r="L53" s="3333"/>
      <c r="M53" s="2309">
        <f t="shared" ref="M53:O54" ca="1" si="0">D55</f>
        <v>196</v>
      </c>
      <c r="N53" s="2307" t="str">
        <f t="shared" si="0"/>
        <v>销售额×税（费）率</v>
      </c>
      <c r="O53" s="2310" t="str">
        <f t="shared" si="0"/>
        <v>免征</v>
      </c>
    </row>
    <row r="54" spans="1:35" ht="12" customHeight="1">
      <c r="A54" s="2152" t="s">
        <v>1358</v>
      </c>
      <c r="B54" s="3294" t="s">
        <v>2284</v>
      </c>
      <c r="C54" s="3295"/>
      <c r="D54" s="1024">
        <f ca="1">C68</f>
        <v>20552</v>
      </c>
      <c r="E54" s="319" t="s">
        <v>1359</v>
      </c>
      <c r="F54" s="2337">
        <f>'数据-取费表'!B41</f>
        <v>5.5000000000000007E-2</v>
      </c>
      <c r="G54" s="2338"/>
      <c r="H54" s="2339"/>
      <c r="I54" s="1668"/>
      <c r="J54" s="2307">
        <v>3</v>
      </c>
      <c r="K54" s="3333" t="s">
        <v>1360</v>
      </c>
      <c r="L54" s="3333"/>
      <c r="M54" s="2309">
        <f t="shared" ca="1" si="0"/>
        <v>222426</v>
      </c>
      <c r="N54" s="2307" t="str">
        <f t="shared" si="0"/>
        <v>增值额×税（费）率</v>
      </c>
      <c r="O54" s="2311" t="str">
        <f t="shared" si="0"/>
        <v>免征</v>
      </c>
    </row>
    <row r="55" spans="1:35" ht="24" customHeight="1">
      <c r="A55" s="3283" t="s">
        <v>1361</v>
      </c>
      <c r="B55" s="3284"/>
      <c r="C55" s="3284"/>
      <c r="D55" s="12">
        <f ca="1">IF(H55="个人住宅",0,ROUND(D45*I55,0))</f>
        <v>196</v>
      </c>
      <c r="E55" s="1255" t="s">
        <v>1362</v>
      </c>
      <c r="F55" s="2337" t="str">
        <f>IF(H55="正常",I55,"免征")</f>
        <v>免征</v>
      </c>
      <c r="G55" s="2338"/>
      <c r="H55" s="2334"/>
      <c r="I55" s="157">
        <f>'数据-取费表'!B49</f>
        <v>5.0000000000000001E-4</v>
      </c>
      <c r="J55" s="2307">
        <f>IF(H59="非个人房产","",4)</f>
        <v>4</v>
      </c>
      <c r="K55" s="3333" t="str">
        <f>IF(H59="非个人房产","——","个人所得税")</f>
        <v>个人所得税</v>
      </c>
      <c r="L55" s="3333"/>
      <c r="M55" s="2312">
        <f ca="1">D59</f>
        <v>3737</v>
      </c>
      <c r="N55" s="1882" t="str">
        <f>E59</f>
        <v>差额计税</v>
      </c>
      <c r="O55" s="2313">
        <f>F59</f>
        <v>0.01</v>
      </c>
    </row>
    <row r="56" spans="1:35" ht="24.75">
      <c r="A56" s="3283" t="s">
        <v>1363</v>
      </c>
      <c r="B56" s="3284"/>
      <c r="C56" s="3284"/>
      <c r="D56" s="12">
        <f ca="1">IF(H56="个人住宅",D57,D58)</f>
        <v>222426</v>
      </c>
      <c r="E56" s="1255" t="s">
        <v>1364</v>
      </c>
      <c r="F56" s="2337" t="str">
        <f>IF(H56="正常",F58,"免征")</f>
        <v>免征</v>
      </c>
      <c r="G56" s="2340" t="s">
        <v>1365</v>
      </c>
      <c r="H56" s="2341"/>
      <c r="I56" s="1669"/>
      <c r="J56" s="2307" t="str">
        <f>IF(项目基本情况!K6="上海银行",IF(J55="",4,J55+1),"")</f>
        <v/>
      </c>
      <c r="K56" s="3356" t="str">
        <f>IF(项目基本情况!K6="上海银行","其他处置费用","")</f>
        <v/>
      </c>
      <c r="L56" s="3357"/>
      <c r="M56" s="2309" t="str">
        <f>IF(项目基本情况!K6="上海银行",M69,"")</f>
        <v/>
      </c>
      <c r="N56" s="3356" t="str">
        <f>IF(项目基本情况!K6="上海银行","包含处置中涉及的律师、诉讼、拍卖、评估等费用","")</f>
        <v/>
      </c>
      <c r="O56" s="3359"/>
    </row>
    <row r="57" spans="1:35" ht="12.75">
      <c r="A57" s="2152" t="s">
        <v>1341</v>
      </c>
      <c r="B57" s="3294" t="s">
        <v>1366</v>
      </c>
      <c r="C57" s="3295"/>
      <c r="D57" s="1477">
        <v>0</v>
      </c>
      <c r="E57" s="316" t="s">
        <v>1343</v>
      </c>
      <c r="F57" s="294"/>
      <c r="G57" s="2338"/>
      <c r="H57" s="2342"/>
      <c r="I57" s="1669"/>
      <c r="J57" s="3333">
        <f>IF(AND(J55="",J56=""),4,IF(项目基本情况!K6="上海银行",结果表!J56+1,结果表!J55+1))</f>
        <v>5</v>
      </c>
      <c r="K57" s="3333" t="s">
        <v>1367</v>
      </c>
      <c r="L57" s="2314" t="s">
        <v>1368</v>
      </c>
      <c r="M57" s="2315"/>
      <c r="N57" s="2316">
        <f ca="1">SUMIF(M52:M56,"&lt;9e307")</f>
        <v>226359</v>
      </c>
      <c r="O57" s="2317"/>
      <c r="P57" s="2462" t="e">
        <f ca="1">N57/M49</f>
        <v>#VALUE!</v>
      </c>
    </row>
    <row r="58" spans="1:35" ht="24.75">
      <c r="A58" s="2152" t="s">
        <v>1352</v>
      </c>
      <c r="B58" s="3294" t="s">
        <v>1369</v>
      </c>
      <c r="C58" s="3268"/>
      <c r="D58" s="12">
        <f ca="1">IF(H58="转让取得",C81,C97)</f>
        <v>222426</v>
      </c>
      <c r="E58" s="1255" t="s">
        <v>1364</v>
      </c>
      <c r="F58" s="294" t="s">
        <v>28</v>
      </c>
      <c r="G58" s="2338"/>
      <c r="H58" s="2341"/>
      <c r="I58" s="1669"/>
      <c r="J58" s="3333"/>
      <c r="K58" s="3333"/>
      <c r="L58" s="2314" t="s">
        <v>1370</v>
      </c>
      <c r="M58" s="2318"/>
      <c r="N58" s="2319" t="str">
        <f ca="1">NUMBERSTRING(INT(N57*10000),2)&amp;"元整"</f>
        <v>贰拾贰亿陆仟叁佰伍拾玖万元整</v>
      </c>
      <c r="O58" s="2320"/>
    </row>
    <row r="59" spans="1:35" ht="24.75" thickBot="1">
      <c r="A59" s="3336" t="s">
        <v>1371</v>
      </c>
      <c r="B59" s="3337"/>
      <c r="C59" s="3337"/>
      <c r="D59" s="2343">
        <f ca="1">IF(H59="非个人房产","——",IF(H59="个人住宅（满五唯一有凭证）",0,IF(H59="个人其他（无凭证）",ROUND(D45*F59,0),ROUND(C67*F59,0))))</f>
        <v>3737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2133</v>
      </c>
      <c r="J59" s="3334">
        <f>J57+1</f>
        <v>6</v>
      </c>
      <c r="K59" s="3333" t="s">
        <v>1372</v>
      </c>
      <c r="L59" s="2307" t="s">
        <v>1368</v>
      </c>
      <c r="M59" s="2321"/>
      <c r="N59" s="2322" t="e">
        <f ca="1">M49-N57</f>
        <v>#VALUE!</v>
      </c>
      <c r="O59" s="2323"/>
    </row>
    <row r="60" spans="1:35" ht="12" customHeight="1">
      <c r="A60" s="1670"/>
      <c r="B60" s="646"/>
      <c r="C60" s="646"/>
      <c r="D60" s="646"/>
      <c r="E60" s="1465"/>
      <c r="F60" s="1669"/>
      <c r="G60" s="1669"/>
      <c r="H60" s="151"/>
      <c r="I60" s="121"/>
      <c r="J60" s="3335"/>
      <c r="K60" s="3333"/>
      <c r="L60" s="2314" t="s">
        <v>1370</v>
      </c>
      <c r="M60" s="2318"/>
      <c r="N60" s="2319" t="e">
        <f ca="1">NUMBERSTRING(INT(N59*10000),2)&amp;"元整"</f>
        <v>#VALUE!</v>
      </c>
      <c r="O60" s="2320"/>
    </row>
    <row r="61" spans="1:35" ht="13.5" thickBot="1">
      <c r="A61" s="3281" t="s">
        <v>1373</v>
      </c>
      <c r="B61" s="3281"/>
      <c r="C61" s="3281"/>
      <c r="D61" s="3281"/>
      <c r="E61" s="3281"/>
      <c r="F61" s="1669"/>
      <c r="G61" s="1669"/>
      <c r="H61" s="151"/>
      <c r="I61" s="121"/>
      <c r="J61" s="2307">
        <f>J59+1</f>
        <v>7</v>
      </c>
      <c r="K61" s="3333" t="s">
        <v>1374</v>
      </c>
      <c r="L61" s="3333"/>
      <c r="M61" s="2324"/>
      <c r="N61" s="2325" t="e">
        <f ca="1">ROUND(N59*10000/'数据-汇总表'!E3,0)</f>
        <v>#VALUE!</v>
      </c>
      <c r="O61" s="2326"/>
    </row>
    <row r="62" spans="1:35" ht="12.75">
      <c r="A62" s="3299" t="s">
        <v>1375</v>
      </c>
      <c r="B62" s="3300"/>
      <c r="C62" s="1864"/>
      <c r="D62" s="1864" t="s">
        <v>1376</v>
      </c>
      <c r="E62" s="158" t="s">
        <v>1377</v>
      </c>
      <c r="F62" s="1669"/>
      <c r="G62" s="1669"/>
      <c r="H62" s="151"/>
      <c r="I62" s="121"/>
    </row>
    <row r="63" spans="1:35" ht="12.75">
      <c r="A63" s="165" t="s">
        <v>330</v>
      </c>
      <c r="B63" s="159" t="s">
        <v>1378</v>
      </c>
      <c r="C63" s="2347">
        <f ca="1">ROUND((C64+C65)/(1+'数据-取费表'!C42),0)</f>
        <v>373668</v>
      </c>
      <c r="D63" s="159"/>
      <c r="E63" s="160"/>
      <c r="F63" s="1669"/>
      <c r="G63" s="1669"/>
      <c r="H63" s="151"/>
      <c r="I63" s="121"/>
      <c r="J63" s="3358"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f ca="1">D45</f>
        <v>392351</v>
      </c>
      <c r="D64" s="162" t="s">
        <v>26</v>
      </c>
      <c r="E64" s="164"/>
      <c r="F64" s="1669"/>
      <c r="G64" s="1669"/>
      <c r="H64" s="151"/>
      <c r="I64" s="121"/>
      <c r="J64" s="335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58"/>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58"/>
      <c r="K66" s="1244" t="s">
        <v>1387</v>
      </c>
      <c r="L66" s="1244" t="e">
        <f>M49*0.5%</f>
        <v>#VALUE!</v>
      </c>
      <c r="M66" s="294" t="e">
        <f>IF(L66&gt;0.5,0.5,ROUND(L66,0))</f>
        <v>#VALUE!</v>
      </c>
      <c r="N66" s="2328" t="s">
        <v>1388</v>
      </c>
      <c r="Z66" s="1622"/>
      <c r="AI66" s="1560"/>
    </row>
    <row r="67" spans="1:35" ht="14.25" customHeight="1">
      <c r="A67" s="165" t="s">
        <v>328</v>
      </c>
      <c r="B67" s="166" t="s">
        <v>1389</v>
      </c>
      <c r="C67" s="2351">
        <f ca="1">C63-C66</f>
        <v>373668</v>
      </c>
      <c r="D67" s="162" t="s">
        <v>26</v>
      </c>
      <c r="E67" s="164"/>
      <c r="F67" s="1669"/>
      <c r="G67" s="1669"/>
      <c r="H67" s="151"/>
      <c r="I67" s="121"/>
      <c r="J67" s="335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f ca="1">IF(C67&lt;=0,0,ROUND(C67*D68,0))</f>
        <v>20552</v>
      </c>
      <c r="D68" s="2353">
        <f>'数据-取费表'!B41</f>
        <v>5.5000000000000007E-2</v>
      </c>
      <c r="E68" s="170"/>
      <c r="F68" s="1669"/>
      <c r="G68" s="1669"/>
      <c r="H68" s="151"/>
      <c r="I68" s="121"/>
      <c r="J68" s="3358"/>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58"/>
      <c r="K69" s="1244" t="s">
        <v>1393</v>
      </c>
      <c r="L69" s="1244"/>
      <c r="M69" s="294" t="e">
        <f>ROUND(SUM(M63:M68),0)</f>
        <v>#VALUE!</v>
      </c>
      <c r="N69" s="2329" t="e">
        <f>M69/M49</f>
        <v>#VALUE!</v>
      </c>
      <c r="Z69" s="1622"/>
      <c r="AI69" s="1560"/>
    </row>
    <row r="70" spans="1:35" s="642" customFormat="1" ht="1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9" t="s">
        <v>1375</v>
      </c>
      <c r="B71" s="330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f ca="1">ROUND(D45/(1+'数据-取费表'!C42),0)</f>
        <v>373668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f ca="1">C74+C78</f>
        <v>1868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94" t="s">
        <v>1402</v>
      </c>
      <c r="F76" s="3268"/>
      <c r="G76" s="3268"/>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1868</v>
      </c>
      <c r="D78" s="2360">
        <f>'数据-取费表'!B43</f>
        <v>5.000000000000001E-3</v>
      </c>
      <c r="E78" s="3278" t="s">
        <v>1406</v>
      </c>
      <c r="F78" s="3279"/>
      <c r="G78" s="3279"/>
      <c r="H78" s="32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f ca="1">C72-C73</f>
        <v>371800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199.03640256959315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f ca="1">ROUND(IF(C79&lt;=0,0,IF(C80&gt;=200%,C79*60%-C73*35%,IF(C80&gt;=100%,C79*50%-C73*15%,IF(C80&gt;=50%,C79*40%-C73*5%,IF(C80&lt;50%,C79*30%,0))))),0)</f>
        <v>222426</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9" t="s">
        <v>1375</v>
      </c>
      <c r="B84" s="330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f ca="1">ROUND(D45/(1+'数据-取费表'!C42),0)</f>
        <v>373668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f ca="1">IF(H88="仅含出让金",C87+C90+C91+C92+C93+C94,C87+C91+C92+C93+C94)</f>
        <v>1868</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7"/>
      <c r="G88" s="186" t="s">
        <v>1414</v>
      </c>
      <c r="H88" s="1683"/>
      <c r="I88" s="1680"/>
      <c r="J88" s="2305" t="s">
        <v>2280</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7"/>
      <c r="G90" s="3360" t="s">
        <v>2125</v>
      </c>
      <c r="H90" s="3361"/>
      <c r="I90" s="1680"/>
      <c r="J90" s="2305" t="s">
        <v>2281</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78" t="s">
        <v>1419</v>
      </c>
      <c r="F91" s="3279"/>
      <c r="G91" s="327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78" t="s">
        <v>1422</v>
      </c>
      <c r="F92" s="3279"/>
      <c r="G92" s="3279"/>
      <c r="H92" s="3288"/>
      <c r="I92" s="1680"/>
      <c r="J92" s="2306" t="s">
        <v>2282</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1868</v>
      </c>
      <c r="D93" s="2360">
        <f>'数据-取费表'!B43</f>
        <v>5.000000000000001E-3</v>
      </c>
      <c r="E93" s="3278" t="s">
        <v>1406</v>
      </c>
      <c r="F93" s="3279"/>
      <c r="G93" s="3279"/>
      <c r="H93" s="32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289" t="s">
        <v>1426</v>
      </c>
      <c r="F94" s="3290"/>
      <c r="G94" s="3290"/>
      <c r="H94" s="329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f ca="1">ROUND(C85-C86,0)</f>
        <v>371800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199.03640256959315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f ca="1">ROUND(IF(C95&lt;=0,0,IF(C96&gt;=200%,C95*60%-C86*35%,IF(C96&gt;=100%,C95*50%-C86*15%,IF(C96&gt;=50%,C95*40%-C86*5%,IF(C96&lt;50%,C95*30%,0))))),0)</f>
        <v>222426</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68" t="str">
        <f>C4</f>
        <v>成本法</v>
      </c>
      <c r="D101" s="2369" t="str">
        <f>D4</f>
        <v>假设开发法</v>
      </c>
      <c r="E101" s="3355" t="s">
        <v>1431</v>
      </c>
      <c r="F101" s="3312"/>
      <c r="G101" s="1686" t="s">
        <v>1432</v>
      </c>
      <c r="H101" s="2378">
        <f ca="1">H118</f>
        <v>392351</v>
      </c>
      <c r="I101" s="121"/>
    </row>
    <row r="102" spans="1:35" ht="18.75" customHeight="1">
      <c r="A102" s="3314" t="s">
        <v>1433</v>
      </c>
      <c r="B102" s="2367" t="s">
        <v>1432</v>
      </c>
      <c r="C102" s="2368">
        <f ca="1">IF(D32="楼面单价",ROUND(C19,0),C19)</f>
        <v>433363</v>
      </c>
      <c r="D102" s="2369">
        <f ca="1">IF(D32="楼面单价",ROUND(D19,0),D19)</f>
        <v>351339</v>
      </c>
      <c r="E102" s="3355"/>
      <c r="F102" s="3312"/>
      <c r="G102" s="1686" t="s">
        <v>1434</v>
      </c>
      <c r="H102" s="2338">
        <f ca="1">I118</f>
        <v>28132</v>
      </c>
      <c r="I102" s="121"/>
    </row>
    <row r="103" spans="1:35" ht="42.75" customHeight="1">
      <c r="A103" s="3314"/>
      <c r="B103" s="2367" t="s">
        <v>1434</v>
      </c>
      <c r="C103" s="2370">
        <f ca="1">C20</f>
        <v>31073</v>
      </c>
      <c r="D103" s="2371">
        <f ca="1">D20</f>
        <v>25191</v>
      </c>
      <c r="E103" s="3349" t="s">
        <v>1435</v>
      </c>
      <c r="F103" s="3350"/>
      <c r="G103" s="1687" t="s">
        <v>1436</v>
      </c>
      <c r="H103" s="2378">
        <f>IF(D36="正常操作",H104+H105+H106,H105+H106)</f>
        <v>0</v>
      </c>
      <c r="I103" s="121"/>
    </row>
    <row r="104" spans="1:35" ht="18.75" customHeight="1">
      <c r="A104" s="3314" t="s">
        <v>1437</v>
      </c>
      <c r="B104" s="2372" t="s">
        <v>1432</v>
      </c>
      <c r="C104" s="2373">
        <f ca="1">H118</f>
        <v>392351</v>
      </c>
      <c r="D104" s="2374"/>
      <c r="E104" s="1554" t="s">
        <v>1438</v>
      </c>
      <c r="F104" s="1547"/>
      <c r="G104" s="1687" t="s">
        <v>1436</v>
      </c>
      <c r="H104" s="2379">
        <f>IF(D36="同一抵押权人同一抵押物续贷",C36&amp;"（续贷，未扣减，详见特别提示）",C36)</f>
        <v>0</v>
      </c>
      <c r="I104" s="121"/>
    </row>
    <row r="105" spans="1:35" ht="18.75" customHeight="1" thickBot="1">
      <c r="A105" s="3315"/>
      <c r="B105" s="2375" t="s">
        <v>1434</v>
      </c>
      <c r="C105" s="2376">
        <f ca="1">I118</f>
        <v>28132</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312"/>
      <c r="G107" s="1686" t="s">
        <v>1432</v>
      </c>
      <c r="H107" s="2378">
        <f ca="1">IF(E107="——","——",H101-H103)</f>
        <v>392351</v>
      </c>
      <c r="I107" s="121"/>
    </row>
    <row r="108" spans="1:35" ht="18.75" customHeight="1">
      <c r="A108" s="121"/>
      <c r="B108" s="121"/>
      <c r="C108" s="121"/>
      <c r="D108" s="121"/>
      <c r="E108" s="3311"/>
      <c r="F108" s="3312"/>
      <c r="G108" s="1686" t="s">
        <v>1434</v>
      </c>
      <c r="H108" s="2338">
        <f ca="1">IF(H107=H101,H102,ROUND(H107*10000/'数据-汇总表'!E3,0))</f>
        <v>28132</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6" t="s">
        <v>1432</v>
      </c>
      <c r="H109" s="2381" t="str">
        <f>IF(E109="——","——",H101-H105-H106)</f>
        <v>——</v>
      </c>
      <c r="I109" s="121"/>
    </row>
    <row r="110" spans="1:35" ht="18.75" customHeight="1">
      <c r="A110" s="121"/>
      <c r="B110" s="121"/>
      <c r="C110" s="121"/>
      <c r="D110" s="121"/>
      <c r="E110" s="3311"/>
      <c r="F110" s="3312"/>
      <c r="G110" s="1686" t="s">
        <v>1434</v>
      </c>
      <c r="H110" s="2338"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44"/>
      <c r="F112" s="3345"/>
      <c r="G112" s="1689" t="s">
        <v>1434</v>
      </c>
      <c r="H112" s="2382"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0"/>
      <c r="F114" s="1670"/>
      <c r="G114" s="1670"/>
      <c r="H114" s="1670"/>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3" t="str">
        <f>项目基本情况!S2</f>
        <v>北京市昌平区南金路7号院出让国有建设用地使用权及在建建筑物房地产</v>
      </c>
      <c r="B118" s="2149">
        <f>M18</f>
        <v>139467.97</v>
      </c>
      <c r="C118" s="2149">
        <f>M19</f>
        <v>123131.88</v>
      </c>
      <c r="D118" s="2149">
        <f ca="1">ROUND(IF(D32="总价",C34,E118*B118/10000),0)</f>
        <v>342130</v>
      </c>
      <c r="E118" s="2149">
        <f ca="1">ROUND(IF(C33="自定义",IF(D32="楼面单价",C34,D118*10000/B118),I118-G118),0)</f>
        <v>24531</v>
      </c>
      <c r="F118" s="2149">
        <f ca="1">ROUND(IF(D32="总价",C35,G118*B118/10000),0)</f>
        <v>50221</v>
      </c>
      <c r="G118" s="2149">
        <f ca="1">ROUND(IF(D32="楼面单价",C35,F118*10000/B118),0)</f>
        <v>3601</v>
      </c>
      <c r="H118" s="2149">
        <f ca="1">ROUND(IF(D32="总价",C32,I118*B118/10000),0)</f>
        <v>392351</v>
      </c>
      <c r="I118" s="2149">
        <f ca="1">ROUND(IF(D32="楼面单价",C32,H118*10000/B118),0)</f>
        <v>28132</v>
      </c>
    </row>
    <row r="119" spans="1:27" ht="18.75" customHeight="1">
      <c r="A119" s="3282" t="s">
        <v>1452</v>
      </c>
      <c r="B119" s="3282"/>
      <c r="C119" s="3282"/>
      <c r="D119" s="3322" t="str">
        <f ca="1">NUMBERSTRING(INT(D118*10000),2)&amp;"元整"</f>
        <v>叁拾肆亿贰仟壹佰叁拾万元整</v>
      </c>
      <c r="E119" s="3324"/>
      <c r="F119" s="3322" t="str">
        <f ca="1">NUMBERSTRING(INT(F118*10000),2)&amp;"元整"</f>
        <v>伍亿零贰佰贰拾壹万元整</v>
      </c>
      <c r="G119" s="3324"/>
      <c r="H119" s="3322" t="str">
        <f ca="1">NUMBERSTRING(INT(H118*10000),2)&amp;"元整"</f>
        <v>叁拾玖亿贰仟叁佰伍拾壹万元整</v>
      </c>
      <c r="I119" s="3324"/>
    </row>
    <row r="120" spans="1:27" ht="18.75" customHeight="1">
      <c r="A120" s="3346" t="str">
        <f>IF(项目基本情况!B9="房地产市场价值","",MID(E103,3,LEN(E103)-2))</f>
        <v/>
      </c>
      <c r="B120" s="3347"/>
      <c r="C120" s="3348"/>
      <c r="D120" s="3346">
        <f>H103</f>
        <v>0</v>
      </c>
      <c r="E120" s="3347"/>
      <c r="F120" s="3347"/>
      <c r="G120" s="3347"/>
      <c r="H120" s="3347"/>
      <c r="I120" s="334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
      </c>
      <c r="B122" s="3313"/>
      <c r="C122" s="3313"/>
      <c r="D122" s="3346">
        <f ca="1">H107</f>
        <v>392351</v>
      </c>
      <c r="E122" s="3347"/>
      <c r="F122" s="3347"/>
      <c r="G122" s="3347"/>
      <c r="H122" s="3347"/>
      <c r="I122" s="3348"/>
      <c r="AA122" s="684"/>
    </row>
    <row r="123" spans="1:27" ht="18.75" customHeight="1">
      <c r="A123" s="3282" t="s">
        <v>1452</v>
      </c>
      <c r="B123" s="3282"/>
      <c r="C123" s="3282"/>
      <c r="D123" s="3322" t="str">
        <f ca="1">NUMBERSTRING(INT(D122*10000),2)&amp;"元整"</f>
        <v>叁拾玖亿贰仟叁佰伍拾壹万元整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28" zoomScaleNormal="60" zoomScaleSheetLayoutView="100" workbookViewId="0">
      <selection activeCell="F65" sqref="F6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276550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19829</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04.25" customHeight="1">
      <c r="A5" s="348"/>
      <c r="B5" s="349"/>
      <c r="C5" s="3395" t="s">
        <v>1673</v>
      </c>
      <c r="D5" s="3396"/>
      <c r="E5" s="3402" t="str">
        <f>土地案例!A5</f>
        <v>北京市昌平区百善镇中心区西部地块土地一级开发项目CP01-0901-0004、0006、0013、0014地块R2二类居住用地、A33基础教育用地</v>
      </c>
      <c r="F5" s="3403"/>
      <c r="G5" s="3395" t="str">
        <f>土地案例!A8</f>
        <v>北京市昌平区昌平新城东区五期土地一级开发项目CP00-1101-0016、0018、0023、0019、0020、0021地块R2二类居住用地、A8社区综合服务设施用地、A4体育用地、A33基础教育用</v>
      </c>
      <c r="H5" s="3396"/>
      <c r="I5" s="3395" t="str">
        <f>土地案例!A11</f>
        <v>北京市昌平新城东区三期土地一级开发项目CP00-1002-0001地块R2二类居住用地</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t="str">
        <f>土地案例!L5</f>
        <v>2024-02-23</v>
      </c>
      <c r="F7" s="357">
        <f>SUMIF(69:69,YEAR(E7)&amp;"-"&amp;INT((MONTH(E7)+2)/3),70:70)</f>
        <v>100</v>
      </c>
      <c r="G7" s="1821" t="str">
        <f>土地案例!L8</f>
        <v>2023-09-27</v>
      </c>
      <c r="H7" s="355">
        <f>SUMIF(69:69,YEAR(G7)&amp;"-"&amp;INT((MONTH(G7)+2)/3),70:70)</f>
        <v>100</v>
      </c>
      <c r="I7" s="1821" t="str">
        <f>土地案例!L11</f>
        <v>2023-03-23</v>
      </c>
      <c r="J7" s="355">
        <f>SUMIF(69:69,YEAR(I7)&amp;"-"&amp;INT((MONTH(I7)+2)/3),70:70)</f>
        <v>100</v>
      </c>
      <c r="K7" s="38"/>
      <c r="L7" s="2486"/>
      <c r="M7" s="2437"/>
      <c r="N7" s="2437"/>
      <c r="O7" s="2437"/>
      <c r="P7" s="3397" t="s">
        <v>1680</v>
      </c>
      <c r="Q7" s="3399"/>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45" si="3">D8/F8</f>
        <v>1</v>
      </c>
      <c r="AB8" s="50">
        <f t="shared" ref="AB8:AB45" si="4">D8/H8</f>
        <v>1</v>
      </c>
      <c r="AC8" s="50">
        <f t="shared" ref="AC8:AC45" si="5">D8/J8</f>
        <v>1</v>
      </c>
    </row>
    <row r="9" spans="1:29" s="102" customFormat="1">
      <c r="A9" s="359" t="s">
        <v>1684</v>
      </c>
      <c r="B9" s="60" t="s">
        <v>1685</v>
      </c>
      <c r="C9" s="1824" t="s">
        <v>3388</v>
      </c>
      <c r="D9" s="59">
        <v>100</v>
      </c>
      <c r="E9" s="1824" t="s">
        <v>3388</v>
      </c>
      <c r="F9" s="59">
        <f>SUMIF(74:74,E9,75:75)-SUMIF(74:74,C9,75:75)+100</f>
        <v>100</v>
      </c>
      <c r="G9" s="1824" t="s">
        <v>3388</v>
      </c>
      <c r="H9" s="59">
        <f>SUMIF(74:74,G9,75:75)-SUMIF(74:74,C9,75:75)+100</f>
        <v>100</v>
      </c>
      <c r="I9" s="1824" t="s">
        <v>3388</v>
      </c>
      <c r="J9" s="59">
        <f>SUMIF(74:74,I9,75:75)-SUMIF(74:74,C9,75:75)+100</f>
        <v>100</v>
      </c>
      <c r="K9" s="38"/>
      <c r="L9" s="2486"/>
      <c r="M9" s="2437"/>
      <c r="N9" s="2437"/>
      <c r="O9" s="2538"/>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369"/>
      <c r="Q10" s="530" t="str">
        <f t="shared" si="6"/>
        <v>土地使用年限（年）</v>
      </c>
      <c r="R10" s="664" t="s">
        <v>14</v>
      </c>
      <c r="S10" s="665">
        <f t="shared" si="0"/>
        <v>113</v>
      </c>
      <c r="T10" s="664" t="s">
        <v>14</v>
      </c>
      <c r="U10" s="665">
        <f t="shared" si="1"/>
        <v>113</v>
      </c>
      <c r="V10" s="664" t="s">
        <v>14</v>
      </c>
      <c r="W10" s="665">
        <f t="shared" si="2"/>
        <v>113</v>
      </c>
      <c r="X10" s="666"/>
      <c r="Y10" s="3269"/>
      <c r="Z10" s="50" t="str">
        <f t="shared" si="7"/>
        <v>土地使用年限（年）</v>
      </c>
      <c r="AA10" s="50">
        <f t="shared" si="3"/>
        <v>0.88495575221238942</v>
      </c>
      <c r="AB10" s="50">
        <f t="shared" si="4"/>
        <v>0.88495575221238942</v>
      </c>
      <c r="AC10" s="50">
        <f t="shared" si="5"/>
        <v>0.88495575221238942</v>
      </c>
    </row>
    <row r="11" spans="1:29" ht="15">
      <c r="A11" s="367"/>
      <c r="B11" s="364" t="s">
        <v>1689</v>
      </c>
      <c r="C11" s="368">
        <v>0.87</v>
      </c>
      <c r="D11" s="119">
        <v>100</v>
      </c>
      <c r="E11" s="368">
        <v>1.27</v>
      </c>
      <c r="F11" s="119">
        <f>LOOKUP(E11,79:79,80:80)-LOOKUP(C11,79:79,80:80)+100</f>
        <v>95</v>
      </c>
      <c r="G11" s="369">
        <v>2.2000000000000002</v>
      </c>
      <c r="H11" s="119">
        <f>LOOKUP(G11,79:79,80:80)-LOOKUP(C11,79:79,80:80)+100</f>
        <v>85</v>
      </c>
      <c r="I11" s="368">
        <v>2.2000000000000002</v>
      </c>
      <c r="J11" s="119">
        <f>LOOKUP(I11,79:79,80:80)-LOOKUP(C11,79:79,80:80)+100</f>
        <v>85</v>
      </c>
      <c r="K11" s="593">
        <v>5</v>
      </c>
      <c r="L11" s="2489"/>
      <c r="M11" s="2485"/>
      <c r="N11" s="2485"/>
      <c r="O11" s="2540"/>
      <c r="P11" s="3369"/>
      <c r="Q11" s="530" t="str">
        <f t="shared" si="6"/>
        <v>容积率</v>
      </c>
      <c r="R11" s="664" t="s">
        <v>14</v>
      </c>
      <c r="S11" s="665">
        <f t="shared" si="0"/>
        <v>95</v>
      </c>
      <c r="T11" s="664" t="s">
        <v>14</v>
      </c>
      <c r="U11" s="665">
        <f t="shared" si="1"/>
        <v>85</v>
      </c>
      <c r="V11" s="664" t="s">
        <v>14</v>
      </c>
      <c r="W11" s="665">
        <f t="shared" si="2"/>
        <v>85</v>
      </c>
      <c r="X11" s="666"/>
      <c r="Y11" s="3269"/>
      <c r="Z11" s="50" t="str">
        <f t="shared" si="7"/>
        <v>容积率</v>
      </c>
      <c r="AA11" s="50">
        <f t="shared" si="3"/>
        <v>1.0526315789473684</v>
      </c>
      <c r="AB11" s="50">
        <f t="shared" si="4"/>
        <v>1.1764705882352942</v>
      </c>
      <c r="AC11" s="50">
        <f t="shared" si="5"/>
        <v>1.1764705882352942</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69"/>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15">
      <c r="A15" s="379" t="s">
        <v>1690</v>
      </c>
      <c r="B15" s="58" t="s">
        <v>1257</v>
      </c>
      <c r="C15" s="1749" t="str">
        <f>估价对象房地状况!C15</f>
        <v>一般</v>
      </c>
      <c r="D15" s="380">
        <v>100</v>
      </c>
      <c r="E15" s="381"/>
      <c r="F15" s="380">
        <f>SUMIF(87:87,E16,88:88)-SUMIF(87:87,C16,88:88)+100</f>
        <v>100</v>
      </c>
      <c r="G15" s="381"/>
      <c r="H15" s="380">
        <f>SUMIF(87:87,G16,88:88)-SUMIF(87:87,C16,88:88)+100</f>
        <v>102</v>
      </c>
      <c r="I15" s="383"/>
      <c r="J15" s="380">
        <f>SUMIF(87:87,I16,88:88)-SUMIF(87:87,C16,88:88)+100</f>
        <v>100</v>
      </c>
      <c r="K15" s="593">
        <v>2</v>
      </c>
      <c r="L15" s="2490"/>
      <c r="M15" s="2485"/>
      <c r="N15" s="2485"/>
      <c r="O15" s="2540"/>
      <c r="P15" s="3370" t="s">
        <v>1691</v>
      </c>
      <c r="Q15" s="1262" t="str">
        <f t="shared" si="6"/>
        <v>居住社区成熟度</v>
      </c>
      <c r="R15" s="667" t="s">
        <v>14</v>
      </c>
      <c r="S15" s="668">
        <f t="shared" si="0"/>
        <v>100</v>
      </c>
      <c r="T15" s="667" t="s">
        <v>14</v>
      </c>
      <c r="U15" s="668">
        <f t="shared" si="1"/>
        <v>102</v>
      </c>
      <c r="V15" s="667" t="s">
        <v>14</v>
      </c>
      <c r="W15" s="668">
        <f t="shared" si="2"/>
        <v>100</v>
      </c>
      <c r="X15" s="1264"/>
      <c r="Y15" s="3370" t="s">
        <v>1691</v>
      </c>
      <c r="Z15" s="1263" t="str">
        <f t="shared" si="7"/>
        <v>居住社区成熟度</v>
      </c>
      <c r="AA15" s="1263">
        <f t="shared" si="3"/>
        <v>1</v>
      </c>
      <c r="AB15" s="1263">
        <f t="shared" si="4"/>
        <v>0.98039215686274506</v>
      </c>
      <c r="AC15" s="1263">
        <f t="shared" si="5"/>
        <v>1</v>
      </c>
    </row>
    <row r="16" spans="1:29" ht="15">
      <c r="A16" s="367"/>
      <c r="B16" s="385"/>
      <c r="C16" s="386" t="s">
        <v>3517</v>
      </c>
      <c r="D16" s="387"/>
      <c r="E16" s="1750" t="s">
        <v>3517</v>
      </c>
      <c r="F16" s="387"/>
      <c r="G16" s="1751" t="s">
        <v>3665</v>
      </c>
      <c r="H16" s="389"/>
      <c r="I16" s="1750" t="s">
        <v>3517</v>
      </c>
      <c r="J16" s="387"/>
      <c r="K16" s="592"/>
      <c r="L16" s="2490"/>
      <c r="M16" s="2485"/>
      <c r="N16" s="2485"/>
      <c r="O16" s="2540"/>
      <c r="P16" s="3371"/>
      <c r="Q16" s="1262"/>
      <c r="R16" s="667"/>
      <c r="S16" s="668"/>
      <c r="T16" s="667"/>
      <c r="U16" s="668"/>
      <c r="V16" s="667"/>
      <c r="W16" s="668"/>
      <c r="X16" s="1264"/>
      <c r="Y16" s="3371"/>
      <c r="Z16" s="1263"/>
      <c r="AA16" s="1263">
        <v>1</v>
      </c>
      <c r="AB16" s="1263">
        <v>1</v>
      </c>
      <c r="AC16" s="1263">
        <v>1</v>
      </c>
    </row>
    <row r="17" spans="1:29" ht="15">
      <c r="A17" s="367"/>
      <c r="B17" s="390" t="s">
        <v>1777</v>
      </c>
      <c r="C17" s="1805">
        <f>估价对象房地状况!C16</f>
        <v>0</v>
      </c>
      <c r="D17" s="389">
        <v>100</v>
      </c>
      <c r="E17" s="393"/>
      <c r="F17" s="389">
        <f>SUMIF(89:89,E18,90:90)-SUMIF(89:89,C18,90:90)+100</f>
        <v>100</v>
      </c>
      <c r="G17" s="391"/>
      <c r="H17" s="394">
        <f>SUMIF(89:89,G18,90:90)-SUMIF(89:89,C18,90:90)+100</f>
        <v>100</v>
      </c>
      <c r="I17" s="393"/>
      <c r="J17" s="394">
        <f>SUMIF(89:89,I18,90:90)-SUMIF(89:89,C18,90:90)+100</f>
        <v>100</v>
      </c>
      <c r="K17" s="593"/>
      <c r="L17" s="2490"/>
      <c r="M17" s="2485"/>
      <c r="N17" s="2485"/>
      <c r="O17" s="2540"/>
      <c r="P17" s="3371"/>
      <c r="Q17" s="1262" t="str">
        <f>B17</f>
        <v>商业繁华度</v>
      </c>
      <c r="R17" s="667" t="s">
        <v>14</v>
      </c>
      <c r="S17" s="668">
        <f>F17</f>
        <v>100</v>
      </c>
      <c r="T17" s="667" t="s">
        <v>14</v>
      </c>
      <c r="U17" s="668">
        <f>H17</f>
        <v>100</v>
      </c>
      <c r="V17" s="667" t="s">
        <v>14</v>
      </c>
      <c r="W17" s="668">
        <f>J17</f>
        <v>100</v>
      </c>
      <c r="X17" s="1264"/>
      <c r="Y17" s="3371"/>
      <c r="Z17" s="1263" t="str">
        <f>Q17</f>
        <v>商业繁华度</v>
      </c>
      <c r="AA17" s="1263">
        <f t="shared" si="3"/>
        <v>1</v>
      </c>
      <c r="AB17" s="1263">
        <f t="shared" si="4"/>
        <v>1</v>
      </c>
      <c r="AC17" s="1263">
        <f t="shared" si="5"/>
        <v>1</v>
      </c>
    </row>
    <row r="18" spans="1:29" ht="15">
      <c r="A18" s="367"/>
      <c r="B18" s="395"/>
      <c r="C18" s="1754"/>
      <c r="D18" s="389"/>
      <c r="E18" s="1755"/>
      <c r="F18" s="389"/>
      <c r="G18" s="1756"/>
      <c r="H18" s="387"/>
      <c r="I18" s="1755"/>
      <c r="J18" s="387"/>
      <c r="K18" s="592"/>
      <c r="L18" s="2490"/>
      <c r="M18" s="2485"/>
      <c r="N18" s="2485"/>
      <c r="O18" s="2540"/>
      <c r="P18" s="3371"/>
      <c r="Q18" s="1262"/>
      <c r="R18" s="667"/>
      <c r="S18" s="668"/>
      <c r="T18" s="667"/>
      <c r="U18" s="668"/>
      <c r="V18" s="667"/>
      <c r="W18" s="668"/>
      <c r="X18" s="1264"/>
      <c r="Y18" s="3371"/>
      <c r="Z18" s="1263"/>
      <c r="AA18" s="1263">
        <v>1</v>
      </c>
      <c r="AB18" s="1263">
        <v>1</v>
      </c>
      <c r="AC18" s="1263">
        <v>1</v>
      </c>
    </row>
    <row r="19" spans="1:29" ht="15">
      <c r="A19" s="367"/>
      <c r="B19" s="390" t="s">
        <v>1811</v>
      </c>
      <c r="C19" s="1805">
        <f>估价对象房地状况!C17</f>
        <v>0</v>
      </c>
      <c r="D19" s="394">
        <v>100</v>
      </c>
      <c r="E19" s="398"/>
      <c r="F19" s="394">
        <f>SUMIF(91:91,E20,92:92)-SUMIF(91:91,C20,92:92)+100</f>
        <v>100</v>
      </c>
      <c r="G19" s="396"/>
      <c r="H19" s="389">
        <f>SUMIF(91:91,G20,92:92)-SUMIF(91:91,C20,92:92)+100</f>
        <v>100</v>
      </c>
      <c r="I19" s="398"/>
      <c r="J19" s="389">
        <f>SUMIF(91:91,I20,92:92)-SUMIF(91:91,C20,92:92)+100</f>
        <v>100</v>
      </c>
      <c r="K19" s="593"/>
      <c r="L19" s="2490"/>
      <c r="M19" s="2485"/>
      <c r="N19" s="2485"/>
      <c r="O19" s="2540"/>
      <c r="P19" s="3371"/>
      <c r="Q19" s="1262" t="str">
        <f>B19</f>
        <v>办公集聚程度</v>
      </c>
      <c r="R19" s="667" t="s">
        <v>14</v>
      </c>
      <c r="S19" s="668">
        <f>F19</f>
        <v>100</v>
      </c>
      <c r="T19" s="667" t="s">
        <v>14</v>
      </c>
      <c r="U19" s="668">
        <f>H19</f>
        <v>100</v>
      </c>
      <c r="V19" s="667" t="s">
        <v>14</v>
      </c>
      <c r="W19" s="668">
        <f>J19</f>
        <v>100</v>
      </c>
      <c r="X19" s="1264"/>
      <c r="Y19" s="3371"/>
      <c r="Z19" s="1263" t="str">
        <f>Q19</f>
        <v>办公集聚程度</v>
      </c>
      <c r="AA19" s="1263">
        <f t="shared" si="3"/>
        <v>1</v>
      </c>
      <c r="AB19" s="1263">
        <f t="shared" si="4"/>
        <v>1</v>
      </c>
      <c r="AC19" s="1263">
        <f t="shared" si="5"/>
        <v>1</v>
      </c>
    </row>
    <row r="20" spans="1:29" ht="15">
      <c r="A20" s="367"/>
      <c r="B20" s="395"/>
      <c r="C20" s="386"/>
      <c r="D20" s="387"/>
      <c r="E20" s="1750"/>
      <c r="F20" s="387"/>
      <c r="G20" s="1751"/>
      <c r="H20" s="387"/>
      <c r="I20" s="1750"/>
      <c r="J20" s="387"/>
      <c r="K20" s="592"/>
      <c r="L20" s="2490"/>
      <c r="M20" s="2485"/>
      <c r="N20" s="2485"/>
      <c r="O20" s="2540"/>
      <c r="P20" s="3371"/>
      <c r="Q20" s="1262"/>
      <c r="R20" s="667"/>
      <c r="S20" s="668"/>
      <c r="T20" s="667"/>
      <c r="U20" s="668"/>
      <c r="V20" s="667"/>
      <c r="W20" s="668"/>
      <c r="X20" s="1264"/>
      <c r="Y20" s="3371"/>
      <c r="Z20" s="1263"/>
      <c r="AA20" s="1263">
        <v>1</v>
      </c>
      <c r="AB20" s="1263">
        <v>1</v>
      </c>
      <c r="AC20" s="1263">
        <v>1</v>
      </c>
    </row>
    <row r="21" spans="1:29" ht="15">
      <c r="A21" s="367"/>
      <c r="B21" s="390" t="s">
        <v>1833</v>
      </c>
      <c r="C21" s="1753" t="str">
        <f>估价对象房地状况!C18</f>
        <v>一般</v>
      </c>
      <c r="D21" s="389">
        <v>100</v>
      </c>
      <c r="E21" s="393"/>
      <c r="F21" s="394">
        <f>SUMIF(93:93,E22,94:94)-SUMIF(93:93,C22,94:94)+100</f>
        <v>100</v>
      </c>
      <c r="G21" s="391"/>
      <c r="H21" s="389">
        <f>SUMIF(93:93,G22,94:94)-SUMIF(93:93,C22,94:94)+100</f>
        <v>102</v>
      </c>
      <c r="I21" s="393"/>
      <c r="J21" s="389">
        <f>SUMIF(93:93,I22,94:94)-SUMIF(93:93,C22,94:94)+100</f>
        <v>100</v>
      </c>
      <c r="K21" s="593">
        <v>2</v>
      </c>
      <c r="L21" s="2490"/>
      <c r="M21" s="2485"/>
      <c r="N21" s="2485"/>
      <c r="O21" s="2540"/>
      <c r="P21" s="3371"/>
      <c r="Q21" s="1262" t="str">
        <f>B21</f>
        <v>交通便捷度</v>
      </c>
      <c r="R21" s="667" t="s">
        <v>14</v>
      </c>
      <c r="S21" s="668">
        <f>F21</f>
        <v>100</v>
      </c>
      <c r="T21" s="667" t="s">
        <v>14</v>
      </c>
      <c r="U21" s="668">
        <f>H21</f>
        <v>102</v>
      </c>
      <c r="V21" s="667" t="s">
        <v>14</v>
      </c>
      <c r="W21" s="668">
        <f>J21</f>
        <v>100</v>
      </c>
      <c r="X21" s="1264"/>
      <c r="Y21" s="3371"/>
      <c r="Z21" s="1263" t="str">
        <f>Q21</f>
        <v>交通便捷度</v>
      </c>
      <c r="AA21" s="1263">
        <f t="shared" si="3"/>
        <v>1</v>
      </c>
      <c r="AB21" s="1263">
        <f t="shared" si="4"/>
        <v>0.98039215686274506</v>
      </c>
      <c r="AC21" s="1263">
        <f t="shared" si="5"/>
        <v>1</v>
      </c>
    </row>
    <row r="22" spans="1:29" ht="15">
      <c r="A22" s="367"/>
      <c r="B22" s="586"/>
      <c r="C22" s="386" t="s">
        <v>3517</v>
      </c>
      <c r="D22" s="389"/>
      <c r="E22" s="1750" t="s">
        <v>3517</v>
      </c>
      <c r="F22" s="387"/>
      <c r="G22" s="1751" t="s">
        <v>3665</v>
      </c>
      <c r="H22" s="387"/>
      <c r="I22" s="1750" t="s">
        <v>3517</v>
      </c>
      <c r="J22" s="387"/>
      <c r="K22" s="592"/>
      <c r="L22" s="2490"/>
      <c r="M22" s="2485"/>
      <c r="N22" s="2485"/>
      <c r="O22" s="2540"/>
      <c r="P22" s="3371"/>
      <c r="Q22" s="1262"/>
      <c r="R22" s="667"/>
      <c r="S22" s="668"/>
      <c r="T22" s="667"/>
      <c r="U22" s="668"/>
      <c r="V22" s="667"/>
      <c r="W22" s="668"/>
      <c r="X22" s="1264"/>
      <c r="Y22" s="3371"/>
      <c r="Z22" s="1263"/>
      <c r="AA22" s="1263">
        <v>1</v>
      </c>
      <c r="AB22" s="1263">
        <v>1</v>
      </c>
      <c r="AC22" s="1263">
        <v>1</v>
      </c>
    </row>
    <row r="23" spans="1:29" ht="15">
      <c r="A23" s="348"/>
      <c r="B23" s="390" t="s">
        <v>1871</v>
      </c>
      <c r="C23" s="1069">
        <f>估价对象房地状况!C19</f>
        <v>0</v>
      </c>
      <c r="D23" s="394">
        <v>100</v>
      </c>
      <c r="E23" s="393"/>
      <c r="F23" s="394">
        <f>SUMIF(95:95,E24,96:96)-SUMIF(95:95,C24,96:96)+100</f>
        <v>100</v>
      </c>
      <c r="G23" s="393"/>
      <c r="H23" s="394">
        <f>SUMIF(95:95,G24,96:96)-SUMIF(95:95,C24,96:96)+100</f>
        <v>100</v>
      </c>
      <c r="I23" s="393"/>
      <c r="J23" s="394">
        <f>SUMIF(95:95,I24,96:96)-SUMIF(95:95,C24,96:96)+100</f>
        <v>100</v>
      </c>
      <c r="K23" s="593">
        <v>2</v>
      </c>
      <c r="L23" s="2490"/>
      <c r="M23" s="2485"/>
      <c r="N23" s="2485"/>
      <c r="O23" s="2540"/>
      <c r="P23" s="3371"/>
      <c r="Q23" s="1262" t="str">
        <f t="shared" ref="Q23:Q37" si="8">B23</f>
        <v>区域土地利用方向</v>
      </c>
      <c r="R23" s="667" t="s">
        <v>14</v>
      </c>
      <c r="S23" s="668">
        <f>F23</f>
        <v>100</v>
      </c>
      <c r="T23" s="667" t="s">
        <v>14</v>
      </c>
      <c r="U23" s="668">
        <f>H23</f>
        <v>100</v>
      </c>
      <c r="V23" s="667" t="s">
        <v>14</v>
      </c>
      <c r="W23" s="668">
        <f>J23</f>
        <v>100</v>
      </c>
      <c r="X23" s="1264"/>
      <c r="Y23" s="3371"/>
      <c r="Z23" s="1263" t="str">
        <f>Q23</f>
        <v>区域土地利用方向</v>
      </c>
      <c r="AA23" s="1263">
        <f t="shared" si="3"/>
        <v>1</v>
      </c>
      <c r="AB23" s="1263">
        <f t="shared" si="4"/>
        <v>1</v>
      </c>
      <c r="AC23" s="1263">
        <f t="shared" si="5"/>
        <v>1</v>
      </c>
    </row>
    <row r="24" spans="1:29" ht="15">
      <c r="A24" s="348"/>
      <c r="B24" s="395"/>
      <c r="C24" s="386" t="s">
        <v>3665</v>
      </c>
      <c r="D24" s="387"/>
      <c r="E24" s="386" t="s">
        <v>3665</v>
      </c>
      <c r="F24" s="387"/>
      <c r="G24" s="386" t="s">
        <v>3665</v>
      </c>
      <c r="H24" s="387"/>
      <c r="I24" s="386" t="s">
        <v>3665</v>
      </c>
      <c r="J24" s="387"/>
      <c r="K24" s="698"/>
      <c r="L24" s="2490"/>
      <c r="M24" s="2485"/>
      <c r="N24" s="2485"/>
      <c r="O24" s="2540"/>
      <c r="P24" s="3371"/>
      <c r="Q24" s="1262"/>
      <c r="R24" s="667"/>
      <c r="S24" s="668"/>
      <c r="T24" s="667"/>
      <c r="U24" s="668"/>
      <c r="V24" s="667"/>
      <c r="W24" s="668"/>
      <c r="X24" s="1264"/>
      <c r="Y24" s="3371"/>
      <c r="Z24" s="1263"/>
      <c r="AA24" s="1263"/>
      <c r="AB24" s="1263"/>
      <c r="AC24" s="1263"/>
    </row>
    <row r="25" spans="1:29" ht="27">
      <c r="A25" s="348"/>
      <c r="B25" s="586" t="s">
        <v>1872</v>
      </c>
      <c r="C25" s="1805" t="str">
        <f>估价对象房地状况!C20</f>
        <v>一般</v>
      </c>
      <c r="D25" s="389">
        <v>100</v>
      </c>
      <c r="E25" s="393"/>
      <c r="F25" s="389">
        <f>SUMIF(97:97,E26,98:98)-SUMIF(97:97,C26,98:98)+100</f>
        <v>100</v>
      </c>
      <c r="G25" s="391"/>
      <c r="H25" s="389">
        <f>SUMIF(97:97,G26,98:98)-SUMIF(97:97,C26,98:98)+100</f>
        <v>100</v>
      </c>
      <c r="I25" s="393"/>
      <c r="J25" s="389">
        <f>SUMIF(97:97,I26,98:98)-SUMIF(97:97,C26,98:98)+100</f>
        <v>100</v>
      </c>
      <c r="K25" s="593">
        <v>2</v>
      </c>
      <c r="L25" s="2490"/>
      <c r="M25" s="2485"/>
      <c r="N25" s="2485"/>
      <c r="O25" s="2540"/>
      <c r="P25" s="3371"/>
      <c r="Q25" s="1262" t="str">
        <f t="shared" si="8"/>
        <v>自然及人文环境状况</v>
      </c>
      <c r="R25" s="667" t="s">
        <v>14</v>
      </c>
      <c r="S25" s="668">
        <f>F25</f>
        <v>100</v>
      </c>
      <c r="T25" s="667" t="s">
        <v>14</v>
      </c>
      <c r="U25" s="668">
        <f>H25</f>
        <v>100</v>
      </c>
      <c r="V25" s="667" t="s">
        <v>14</v>
      </c>
      <c r="W25" s="668">
        <f>J25</f>
        <v>100</v>
      </c>
      <c r="X25" s="1264"/>
      <c r="Y25" s="3371"/>
      <c r="Z25" s="1263" t="str">
        <f>Q25</f>
        <v>自然及人文环境状况</v>
      </c>
      <c r="AA25" s="1263">
        <f t="shared" si="3"/>
        <v>1</v>
      </c>
      <c r="AB25" s="1263">
        <f t="shared" si="4"/>
        <v>1</v>
      </c>
      <c r="AC25" s="1263">
        <f t="shared" si="5"/>
        <v>1</v>
      </c>
    </row>
    <row r="26" spans="1:29" ht="15">
      <c r="A26" s="348"/>
      <c r="B26" s="395"/>
      <c r="C26" s="386" t="s">
        <v>3517</v>
      </c>
      <c r="D26" s="387"/>
      <c r="E26" s="386" t="s">
        <v>3517</v>
      </c>
      <c r="F26" s="387"/>
      <c r="G26" s="1757" t="s">
        <v>3517</v>
      </c>
      <c r="H26" s="387"/>
      <c r="I26" s="386" t="s">
        <v>3517</v>
      </c>
      <c r="J26" s="387"/>
      <c r="K26" s="592"/>
      <c r="L26" s="2490"/>
      <c r="M26" s="2485"/>
      <c r="N26" s="2485"/>
      <c r="O26" s="2540"/>
      <c r="P26" s="3371"/>
      <c r="Q26" s="1262"/>
      <c r="R26" s="667"/>
      <c r="S26" s="668"/>
      <c r="T26" s="667"/>
      <c r="U26" s="668"/>
      <c r="V26" s="667"/>
      <c r="W26" s="668"/>
      <c r="X26" s="1264"/>
      <c r="Y26" s="3371"/>
      <c r="Z26" s="1263"/>
      <c r="AA26" s="1263">
        <v>1</v>
      </c>
      <c r="AB26" s="1263">
        <v>1</v>
      </c>
      <c r="AC26" s="1263">
        <v>1</v>
      </c>
    </row>
    <row r="27" spans="1:29" s="102" customFormat="1" ht="15">
      <c r="A27" s="443"/>
      <c r="B27" s="586" t="s">
        <v>1778</v>
      </c>
      <c r="C27" s="1753" t="str">
        <f>估价对象房地状况!C21</f>
        <v>一般</v>
      </c>
      <c r="D27" s="389">
        <v>100</v>
      </c>
      <c r="E27" s="393"/>
      <c r="F27" s="389">
        <f>SUMIF(99:99,E28,100:100)-SUMIF(99:99,C28,100:100)+100</f>
        <v>100</v>
      </c>
      <c r="G27" s="391"/>
      <c r="H27" s="389">
        <f>SUMIF(99:99,G28,100:100)-SUMIF(99:99,C28,100:100)+100</f>
        <v>100</v>
      </c>
      <c r="I27" s="393"/>
      <c r="J27" s="389">
        <f>SUMIF(99:99,I28,100:100)-SUMIF(99:99,C28,100:100)+100</f>
        <v>100</v>
      </c>
      <c r="K27" s="593">
        <v>2</v>
      </c>
      <c r="L27" s="2486"/>
      <c r="M27" s="2437"/>
      <c r="N27" s="2437"/>
      <c r="O27" s="2538"/>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3">
        <f>D27/F27</f>
        <v>1</v>
      </c>
      <c r="AB27" s="1263">
        <f>D27/H27</f>
        <v>1</v>
      </c>
      <c r="AC27" s="1263">
        <f>D27/J27</f>
        <v>1</v>
      </c>
    </row>
    <row r="28" spans="1:29" s="102" customFormat="1" ht="15">
      <c r="A28" s="443"/>
      <c r="B28" s="395"/>
      <c r="C28" s="386" t="s">
        <v>3517</v>
      </c>
      <c r="D28" s="387"/>
      <c r="E28" s="386" t="s">
        <v>3517</v>
      </c>
      <c r="F28" s="387"/>
      <c r="G28" s="1757" t="s">
        <v>3517</v>
      </c>
      <c r="H28" s="387"/>
      <c r="I28" s="386" t="s">
        <v>3517</v>
      </c>
      <c r="J28" s="387"/>
      <c r="K28" s="592"/>
      <c r="L28" s="2486"/>
      <c r="M28" s="2437"/>
      <c r="N28" s="2437"/>
      <c r="O28" s="2538"/>
      <c r="P28" s="3371"/>
      <c r="Q28" s="530"/>
      <c r="R28" s="664"/>
      <c r="S28" s="665"/>
      <c r="T28" s="664"/>
      <c r="U28" s="665"/>
      <c r="V28" s="664"/>
      <c r="W28" s="665"/>
      <c r="X28" s="666"/>
      <c r="Y28" s="3371"/>
      <c r="Z28" s="50"/>
      <c r="AA28" s="1263">
        <v>1</v>
      </c>
      <c r="AB28" s="1263">
        <v>1</v>
      </c>
      <c r="AC28" s="1263">
        <v>1</v>
      </c>
    </row>
    <row r="29" spans="1:29" s="102" customFormat="1" ht="15">
      <c r="A29" s="443"/>
      <c r="B29" s="586" t="s">
        <v>1779</v>
      </c>
      <c r="C29" s="1753" t="str">
        <f>估价对象房地状况!C22</f>
        <v>七通</v>
      </c>
      <c r="D29" s="389">
        <v>100</v>
      </c>
      <c r="E29" s="393"/>
      <c r="F29" s="389">
        <f>SUMIF(101:101,E30,102:102)-SUMIF(101:101,C30,102:102)+100</f>
        <v>100</v>
      </c>
      <c r="G29" s="391"/>
      <c r="H29" s="389">
        <f>SUMIF(101:101,G30,102:102)-SUMIF(101:101,C30,102:102)+100</f>
        <v>100</v>
      </c>
      <c r="I29" s="393"/>
      <c r="J29" s="389">
        <f>SUMIF(101:101,I30,102:102)-SUMIF(101:101,C30,102:102)+100</f>
        <v>100</v>
      </c>
      <c r="K29" s="593">
        <v>1</v>
      </c>
      <c r="L29" s="2486"/>
      <c r="M29" s="2437"/>
      <c r="N29" s="2437"/>
      <c r="O29" s="2538"/>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3">
        <f>D29/F29</f>
        <v>1</v>
      </c>
      <c r="AB29" s="1263">
        <f>D29/H29</f>
        <v>1</v>
      </c>
      <c r="AC29" s="1263">
        <f>D29/J29</f>
        <v>1</v>
      </c>
    </row>
    <row r="30" spans="1:29" s="102" customFormat="1" ht="15">
      <c r="A30" s="443"/>
      <c r="B30" s="395"/>
      <c r="C30" s="1825" t="s">
        <v>3659</v>
      </c>
      <c r="D30" s="387"/>
      <c r="E30" s="1826" t="s">
        <v>3659</v>
      </c>
      <c r="F30" s="387"/>
      <c r="G30" s="1826" t="s">
        <v>3659</v>
      </c>
      <c r="H30" s="387"/>
      <c r="I30" s="1826" t="s">
        <v>3659</v>
      </c>
      <c r="J30" s="387"/>
      <c r="K30" s="592"/>
      <c r="L30" s="2486"/>
      <c r="M30" s="2437"/>
      <c r="N30" s="2437"/>
      <c r="O30" s="2538"/>
      <c r="P30" s="3371"/>
      <c r="Q30" s="530"/>
      <c r="R30" s="664"/>
      <c r="S30" s="665"/>
      <c r="T30" s="664"/>
      <c r="U30" s="665"/>
      <c r="V30" s="664"/>
      <c r="W30" s="665"/>
      <c r="X30" s="666"/>
      <c r="Y30" s="337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1"/>
      <c r="Q32" s="1262" t="str">
        <f t="shared" si="8"/>
        <v>毗邻道路的类型与等级</v>
      </c>
      <c r="R32" s="667" t="s">
        <v>14</v>
      </c>
      <c r="S32" s="668">
        <f t="shared" si="10"/>
        <v>100</v>
      </c>
      <c r="T32" s="667" t="s">
        <v>14</v>
      </c>
      <c r="U32" s="668">
        <f t="shared" si="11"/>
        <v>100</v>
      </c>
      <c r="V32" s="667" t="s">
        <v>14</v>
      </c>
      <c r="W32" s="668">
        <f t="shared" si="12"/>
        <v>100</v>
      </c>
      <c r="X32" s="1264"/>
      <c r="Y32" s="337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71"/>
      <c r="Q33" s="1262"/>
      <c r="R33" s="667"/>
      <c r="S33" s="668"/>
      <c r="T33" s="667"/>
      <c r="U33" s="668"/>
      <c r="V33" s="667"/>
      <c r="W33" s="668"/>
      <c r="X33" s="1264"/>
      <c r="Y33" s="337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1"/>
      <c r="Q34" s="1262" t="str">
        <f t="shared" si="8"/>
        <v>土地级别</v>
      </c>
      <c r="R34" s="667" t="s">
        <v>14</v>
      </c>
      <c r="S34" s="668">
        <f t="shared" si="10"/>
        <v>100</v>
      </c>
      <c r="T34" s="667" t="s">
        <v>14</v>
      </c>
      <c r="U34" s="668">
        <f t="shared" si="11"/>
        <v>100</v>
      </c>
      <c r="V34" s="667" t="s">
        <v>14</v>
      </c>
      <c r="W34" s="668">
        <f t="shared" si="12"/>
        <v>100</v>
      </c>
      <c r="X34" s="1264"/>
      <c r="Y34" s="337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1"/>
      <c r="Q35" s="1262">
        <f t="shared" si="8"/>
        <v>111</v>
      </c>
      <c r="R35" s="667" t="s">
        <v>14</v>
      </c>
      <c r="S35" s="668">
        <f t="shared" si="10"/>
        <v>100</v>
      </c>
      <c r="T35" s="667" t="s">
        <v>14</v>
      </c>
      <c r="U35" s="668">
        <f t="shared" si="11"/>
        <v>100</v>
      </c>
      <c r="V35" s="667" t="s">
        <v>14</v>
      </c>
      <c r="W35" s="668">
        <f t="shared" si="12"/>
        <v>100</v>
      </c>
      <c r="X35" s="1264"/>
      <c r="Y35" s="337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72" t="s">
        <v>1696</v>
      </c>
      <c r="Q36" s="1262">
        <f t="shared" si="8"/>
        <v>111</v>
      </c>
      <c r="R36" s="667" t="s">
        <v>14</v>
      </c>
      <c r="S36" s="668">
        <f t="shared" si="10"/>
        <v>100</v>
      </c>
      <c r="T36" s="667" t="s">
        <v>14</v>
      </c>
      <c r="U36" s="668">
        <f t="shared" si="11"/>
        <v>100</v>
      </c>
      <c r="V36" s="667" t="s">
        <v>14</v>
      </c>
      <c r="W36" s="668">
        <f t="shared" si="12"/>
        <v>100</v>
      </c>
      <c r="X36" s="1264"/>
      <c r="Y36" s="337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3"/>
      <c r="Q37" s="1262">
        <f t="shared" si="8"/>
        <v>111</v>
      </c>
      <c r="R37" s="669" t="s">
        <v>14</v>
      </c>
      <c r="S37" s="670">
        <f t="shared" si="10"/>
        <v>100</v>
      </c>
      <c r="T37" s="669" t="s">
        <v>14</v>
      </c>
      <c r="U37" s="670">
        <f t="shared" si="11"/>
        <v>100</v>
      </c>
      <c r="V37" s="669" t="s">
        <v>14</v>
      </c>
      <c r="W37" s="670">
        <f t="shared" si="12"/>
        <v>100</v>
      </c>
      <c r="X37" s="671"/>
      <c r="Y37" s="3373"/>
      <c r="Z37" s="672">
        <f t="shared" si="13"/>
        <v>111</v>
      </c>
      <c r="AA37" s="1263">
        <f t="shared" si="3"/>
        <v>1</v>
      </c>
      <c r="AB37" s="1263">
        <f t="shared" si="4"/>
        <v>1</v>
      </c>
      <c r="AC37" s="1263">
        <f t="shared" si="5"/>
        <v>1</v>
      </c>
    </row>
    <row r="38" spans="1:29" ht="15">
      <c r="A38" s="409" t="s">
        <v>1694</v>
      </c>
      <c r="B38" s="395" t="s">
        <v>1874</v>
      </c>
      <c r="C38" s="599">
        <f>测绘面积!C57</f>
        <v>138563.44</v>
      </c>
      <c r="D38" s="405">
        <v>100</v>
      </c>
      <c r="E38" s="599">
        <f>土地案例!D5</f>
        <v>120847.74</v>
      </c>
      <c r="F38" s="405">
        <f>LOOKUP(E38,116:116,117:117)-LOOKUP(C38,116:116,117:117)+100</f>
        <v>100</v>
      </c>
      <c r="G38" s="599">
        <v>107180.67</v>
      </c>
      <c r="H38" s="405">
        <f>LOOKUP(G38,116:116,117:117)-LOOKUP(C38,116:116,117:117)+100</f>
        <v>100</v>
      </c>
      <c r="I38" s="462">
        <v>49176.79</v>
      </c>
      <c r="J38" s="405">
        <f>LOOKUP(I38,116:116,117:117)-LOOKUP(C38,116:116,117:117)+100</f>
        <v>94</v>
      </c>
      <c r="K38" s="539"/>
      <c r="L38" s="2490"/>
      <c r="M38" s="2485"/>
      <c r="N38" s="2485"/>
      <c r="O38" s="2540"/>
      <c r="P38" s="3373"/>
      <c r="Q38" s="1262" t="str">
        <f>B38</f>
        <v>宗地面积</v>
      </c>
      <c r="R38" s="667" t="s">
        <v>14</v>
      </c>
      <c r="S38" s="668">
        <f t="shared" si="10"/>
        <v>100</v>
      </c>
      <c r="T38" s="667" t="s">
        <v>14</v>
      </c>
      <c r="U38" s="668">
        <f t="shared" si="11"/>
        <v>100</v>
      </c>
      <c r="V38" s="667" t="s">
        <v>14</v>
      </c>
      <c r="W38" s="668">
        <f t="shared" si="12"/>
        <v>94</v>
      </c>
      <c r="X38" s="1264"/>
      <c r="Y38" s="3373"/>
      <c r="Z38" s="1263" t="str">
        <f t="shared" si="13"/>
        <v>宗地面积</v>
      </c>
      <c r="AA38" s="1263">
        <f t="shared" si="3"/>
        <v>1</v>
      </c>
      <c r="AB38" s="1263">
        <f t="shared" si="4"/>
        <v>1</v>
      </c>
      <c r="AC38" s="1263">
        <f t="shared" si="5"/>
        <v>1.0638297872340425</v>
      </c>
    </row>
    <row r="39" spans="1:29" ht="15">
      <c r="A39" s="409"/>
      <c r="B39" s="364" t="s">
        <v>1875</v>
      </c>
      <c r="C39" s="1759" t="s">
        <v>3671</v>
      </c>
      <c r="D39" s="374">
        <v>100</v>
      </c>
      <c r="E39" s="1759" t="s">
        <v>3670</v>
      </c>
      <c r="F39" s="374">
        <f>SUMIF(118:118,E39,119:119)-SUMIF(118:118,C39,119:119)+100</f>
        <v>101</v>
      </c>
      <c r="G39" s="1759" t="s">
        <v>3668</v>
      </c>
      <c r="H39" s="374">
        <f>SUMIF(118:118,G39,119:119)-SUMIF(118:118,C39,119:119)+100</f>
        <v>102</v>
      </c>
      <c r="I39" s="1759" t="s">
        <v>3668</v>
      </c>
      <c r="J39" s="374">
        <f>SUMIF(118:118,I39,119:119)-SUMIF(118:118,C39,119:119)+100</f>
        <v>102</v>
      </c>
      <c r="K39" s="538">
        <v>1</v>
      </c>
      <c r="L39" s="2490"/>
      <c r="M39" s="2485"/>
      <c r="N39" s="2485"/>
      <c r="O39" s="2540"/>
      <c r="P39" s="3373"/>
      <c r="Q39" s="1262" t="str">
        <f t="shared" ref="Q39:Q45" si="14">B39</f>
        <v>宗地形状</v>
      </c>
      <c r="R39" s="667" t="s">
        <v>14</v>
      </c>
      <c r="S39" s="668">
        <f t="shared" si="10"/>
        <v>101</v>
      </c>
      <c r="T39" s="667" t="s">
        <v>14</v>
      </c>
      <c r="U39" s="668">
        <f t="shared" si="11"/>
        <v>102</v>
      </c>
      <c r="V39" s="667" t="s">
        <v>14</v>
      </c>
      <c r="W39" s="668">
        <f t="shared" si="12"/>
        <v>102</v>
      </c>
      <c r="X39" s="1264"/>
      <c r="Y39" s="3373"/>
      <c r="Z39" s="1263" t="str">
        <f t="shared" si="13"/>
        <v>宗地形状</v>
      </c>
      <c r="AA39" s="1263">
        <f t="shared" si="3"/>
        <v>0.99009900990099009</v>
      </c>
      <c r="AB39" s="1263">
        <f t="shared" si="4"/>
        <v>0.98039215686274506</v>
      </c>
      <c r="AC39" s="1263">
        <f t="shared" si="5"/>
        <v>0.98039215686274506</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73"/>
      <c r="Q40" s="1262" t="str">
        <f t="shared" si="14"/>
        <v>临街宽度及深度</v>
      </c>
      <c r="R40" s="667" t="s">
        <v>14</v>
      </c>
      <c r="S40" s="668">
        <f t="shared" si="10"/>
        <v>100</v>
      </c>
      <c r="T40" s="667" t="s">
        <v>14</v>
      </c>
      <c r="U40" s="668">
        <f t="shared" si="11"/>
        <v>100</v>
      </c>
      <c r="V40" s="667" t="s">
        <v>14</v>
      </c>
      <c r="W40" s="668">
        <f t="shared" si="12"/>
        <v>100</v>
      </c>
      <c r="X40" s="1264"/>
      <c r="Y40" s="3373"/>
      <c r="Z40" s="1263" t="str">
        <f t="shared" si="13"/>
        <v>临街宽度及深度</v>
      </c>
      <c r="AA40" s="1263">
        <f t="shared" si="3"/>
        <v>1</v>
      </c>
      <c r="AB40" s="1263">
        <f t="shared" si="4"/>
        <v>1</v>
      </c>
      <c r="AC40" s="1263">
        <f t="shared" si="5"/>
        <v>1</v>
      </c>
    </row>
    <row r="41" spans="1:29" s="102" customFormat="1" ht="15">
      <c r="A41" s="410"/>
      <c r="B41" s="364" t="s">
        <v>1877</v>
      </c>
      <c r="C41" s="1827" t="s">
        <v>3659</v>
      </c>
      <c r="D41" s="119">
        <v>100</v>
      </c>
      <c r="E41" s="1827" t="s">
        <v>3660</v>
      </c>
      <c r="F41" s="374">
        <f>SUMIF(122:122,E41,123:123)-SUMIF(122:122,C41,123:123)+100</f>
        <v>98</v>
      </c>
      <c r="G41" s="1827" t="s">
        <v>3660</v>
      </c>
      <c r="H41" s="374">
        <f>SUMIF(122:122,G41,123:123)-SUMIF(122:122,C41,123:123)+100</f>
        <v>98</v>
      </c>
      <c r="I41" s="1827" t="s">
        <v>3660</v>
      </c>
      <c r="J41" s="374">
        <f>SUMIF(122:122,I41,123:123)-SUMIF(122:122,C41,123:123)+100</f>
        <v>98</v>
      </c>
      <c r="K41" s="538">
        <v>2</v>
      </c>
      <c r="L41" s="2486"/>
      <c r="M41" s="2437"/>
      <c r="N41" s="2437"/>
      <c r="O41" s="2538"/>
      <c r="P41" s="3373"/>
      <c r="Q41" s="1262" t="str">
        <f t="shared" si="14"/>
        <v>宗地开发程度</v>
      </c>
      <c r="R41" s="664" t="s">
        <v>14</v>
      </c>
      <c r="S41" s="665">
        <f t="shared" si="10"/>
        <v>98</v>
      </c>
      <c r="T41" s="664" t="s">
        <v>14</v>
      </c>
      <c r="U41" s="665">
        <f t="shared" si="11"/>
        <v>98</v>
      </c>
      <c r="V41" s="664" t="s">
        <v>14</v>
      </c>
      <c r="W41" s="665">
        <f t="shared" si="12"/>
        <v>98</v>
      </c>
      <c r="X41" s="666"/>
      <c r="Y41" s="3373"/>
      <c r="Z41" s="50" t="str">
        <f t="shared" si="13"/>
        <v>宗地开发程度</v>
      </c>
      <c r="AA41" s="50">
        <f t="shared" si="3"/>
        <v>1.0204081632653061</v>
      </c>
      <c r="AB41" s="50">
        <f t="shared" si="4"/>
        <v>1.0204081632653061</v>
      </c>
      <c r="AC41" s="50">
        <f t="shared" si="5"/>
        <v>1.0204081632653061</v>
      </c>
    </row>
    <row r="42" spans="1:29" ht="15">
      <c r="A42" s="409"/>
      <c r="B42" s="364" t="s">
        <v>1878</v>
      </c>
      <c r="C42" s="1759" t="s">
        <v>3665</v>
      </c>
      <c r="D42" s="374">
        <v>100</v>
      </c>
      <c r="E42" s="1759" t="s">
        <v>3665</v>
      </c>
      <c r="F42" s="374">
        <f>SUMIF(124:124,E42,125:125)-SUMIF(124:124,C42,125:125)+100</f>
        <v>100</v>
      </c>
      <c r="G42" s="1759" t="s">
        <v>3665</v>
      </c>
      <c r="H42" s="374">
        <f>SUMIF(124:124,G42,125:125)-SUMIF(124:124,C42,125:125)+100</f>
        <v>100</v>
      </c>
      <c r="I42" s="1759" t="s">
        <v>3665</v>
      </c>
      <c r="J42" s="374">
        <f>SUMIF(124:124,I42,125:125)-SUMIF(124:124,C42,125:125)+100</f>
        <v>100</v>
      </c>
      <c r="K42" s="538">
        <v>2</v>
      </c>
      <c r="L42" s="2490"/>
      <c r="M42" s="2485"/>
      <c r="N42" s="2485"/>
      <c r="O42" s="2540"/>
      <c r="P42" s="3373" t="s">
        <v>1696</v>
      </c>
      <c r="Q42" s="1262" t="str">
        <f t="shared" si="14"/>
        <v>工程地质条件</v>
      </c>
      <c r="R42" s="667" t="s">
        <v>14</v>
      </c>
      <c r="S42" s="668">
        <f t="shared" si="10"/>
        <v>100</v>
      </c>
      <c r="T42" s="667" t="s">
        <v>14</v>
      </c>
      <c r="U42" s="668">
        <f t="shared" si="11"/>
        <v>100</v>
      </c>
      <c r="V42" s="667" t="s">
        <v>14</v>
      </c>
      <c r="W42" s="668">
        <f t="shared" si="12"/>
        <v>100</v>
      </c>
      <c r="X42" s="1264"/>
      <c r="Y42" s="337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3"/>
      <c r="Q43" s="1262">
        <f t="shared" si="14"/>
        <v>111</v>
      </c>
      <c r="R43" s="667" t="s">
        <v>14</v>
      </c>
      <c r="S43" s="668">
        <f t="shared" si="10"/>
        <v>100</v>
      </c>
      <c r="T43" s="667" t="s">
        <v>14</v>
      </c>
      <c r="U43" s="668">
        <f t="shared" si="11"/>
        <v>100</v>
      </c>
      <c r="V43" s="667" t="s">
        <v>14</v>
      </c>
      <c r="W43" s="668">
        <f t="shared" si="12"/>
        <v>100</v>
      </c>
      <c r="X43" s="1264"/>
      <c r="Y43" s="337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3"/>
      <c r="Q44" s="1262">
        <f t="shared" si="14"/>
        <v>111</v>
      </c>
      <c r="R44" s="667" t="s">
        <v>14</v>
      </c>
      <c r="S44" s="668">
        <f t="shared" si="10"/>
        <v>100</v>
      </c>
      <c r="T44" s="667" t="s">
        <v>14</v>
      </c>
      <c r="U44" s="668">
        <f t="shared" si="11"/>
        <v>100</v>
      </c>
      <c r="V44" s="667" t="s">
        <v>14</v>
      </c>
      <c r="W44" s="668">
        <f t="shared" si="12"/>
        <v>100</v>
      </c>
      <c r="X44" s="1264"/>
      <c r="Y44" s="337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3"/>
      <c r="Q45" s="1262">
        <f t="shared" si="14"/>
        <v>111</v>
      </c>
      <c r="R45" s="669" t="s">
        <v>14</v>
      </c>
      <c r="S45" s="670">
        <f t="shared" si="10"/>
        <v>100</v>
      </c>
      <c r="T45" s="669" t="s">
        <v>14</v>
      </c>
      <c r="U45" s="670">
        <f t="shared" si="11"/>
        <v>100</v>
      </c>
      <c r="V45" s="669" t="s">
        <v>14</v>
      </c>
      <c r="W45" s="670">
        <f t="shared" si="12"/>
        <v>100</v>
      </c>
      <c r="X45" s="671"/>
      <c r="Y45" s="3373"/>
      <c r="Z45" s="672">
        <f t="shared" si="13"/>
        <v>111</v>
      </c>
      <c r="AA45" s="1263">
        <f t="shared" si="3"/>
        <v>1</v>
      </c>
      <c r="AB45" s="1263">
        <f t="shared" si="4"/>
        <v>1</v>
      </c>
      <c r="AC45" s="1263">
        <f t="shared" si="5"/>
        <v>1</v>
      </c>
    </row>
    <row r="46" spans="1:29" ht="15">
      <c r="A46" s="416" t="s">
        <v>1844</v>
      </c>
      <c r="B46" s="1829" t="s">
        <v>1879</v>
      </c>
      <c r="C46" s="602" t="s">
        <v>0</v>
      </c>
      <c r="D46" s="418"/>
      <c r="E46" s="419">
        <v>24703</v>
      </c>
      <c r="F46" s="420"/>
      <c r="G46" s="421">
        <v>26112</v>
      </c>
      <c r="H46" s="422"/>
      <c r="I46" s="419">
        <v>24956</v>
      </c>
      <c r="J46" s="422"/>
      <c r="K46" s="674"/>
      <c r="L46" s="2492"/>
      <c r="M46" s="2485"/>
      <c r="N46" s="2485"/>
      <c r="O46" s="2485"/>
      <c r="P46" s="3369" t="str">
        <f>A46</f>
        <v>成交单价</v>
      </c>
      <c r="Q46" s="3369"/>
      <c r="R46" s="3374">
        <f>E46</f>
        <v>24703</v>
      </c>
      <c r="S46" s="3374"/>
      <c r="T46" s="3374">
        <f>G46</f>
        <v>26112</v>
      </c>
      <c r="U46" s="3374"/>
      <c r="V46" s="3374">
        <f>I46</f>
        <v>24956</v>
      </c>
      <c r="W46" s="3374"/>
      <c r="X46" s="385"/>
      <c r="Y46" s="673"/>
      <c r="Z46" s="385"/>
      <c r="AA46" s="385"/>
      <c r="AB46" s="385"/>
      <c r="AC46" s="385"/>
    </row>
    <row r="47" spans="1:29" ht="15.75" thickBot="1">
      <c r="A47" s="423" t="s">
        <v>1793</v>
      </c>
      <c r="B47" s="603"/>
      <c r="C47" s="426">
        <f>R48</f>
        <v>25681</v>
      </c>
      <c r="D47" s="2140" t="s">
        <v>2134</v>
      </c>
      <c r="E47" s="426">
        <f>R47</f>
        <v>23249</v>
      </c>
      <c r="F47" s="2141"/>
      <c r="G47" s="425">
        <f>T47</f>
        <v>26141</v>
      </c>
      <c r="H47" s="2141"/>
      <c r="I47" s="426">
        <f>V47</f>
        <v>27652</v>
      </c>
      <c r="J47" s="2141"/>
      <c r="K47" s="2143">
        <f>F47+H47+J47</f>
        <v>0</v>
      </c>
      <c r="L47" s="2492"/>
      <c r="M47" s="2485"/>
      <c r="N47" s="2485"/>
      <c r="O47" s="2485"/>
      <c r="P47" s="3369" t="str">
        <f>A47</f>
        <v>比较价值（元/平方米）</v>
      </c>
      <c r="Q47" s="3369"/>
      <c r="R47" s="3362">
        <f>ROUND(PRODUCT(R46,AA7:AA45),0)</f>
        <v>23249</v>
      </c>
      <c r="S47" s="3362"/>
      <c r="T47" s="3362">
        <f>ROUND(PRODUCT(T46,AB7:AB45),0)</f>
        <v>26141</v>
      </c>
      <c r="U47" s="3362"/>
      <c r="V47" s="3362">
        <f>ROUND(PRODUCT(V46,AC7:AC45),0)</f>
        <v>27652</v>
      </c>
      <c r="W47" s="3362"/>
      <c r="X47" s="385"/>
      <c r="Y47" s="385"/>
      <c r="Z47" s="385"/>
      <c r="AA47" s="385"/>
      <c r="AB47" s="385"/>
      <c r="AC47" s="385"/>
    </row>
    <row r="48" spans="1:29" ht="15.75" thickBot="1">
      <c r="A48" s="427" t="s">
        <v>1880</v>
      </c>
      <c r="B48" s="428"/>
      <c r="C48" s="429">
        <f>R48</f>
        <v>25681</v>
      </c>
      <c r="D48" s="429"/>
      <c r="E48" s="429"/>
      <c r="F48" s="429"/>
      <c r="G48" s="429"/>
      <c r="H48" s="429"/>
      <c r="I48" s="429"/>
      <c r="J48" s="429"/>
      <c r="K48" s="675"/>
      <c r="L48" s="2492"/>
      <c r="M48" s="2485"/>
      <c r="N48" s="2485"/>
      <c r="O48" s="2485"/>
      <c r="P48" s="3363" t="str">
        <f>A48</f>
        <v>估价对象XX用房的比较价值（楼面单价，元/平方米）</v>
      </c>
      <c r="Q48" s="3364"/>
      <c r="R48" s="3365">
        <f>ROUND(IF(D47="简单平均",AVERAGE(R47:W47),R47*F47+T47*H47+V47*J47),0)</f>
        <v>25681</v>
      </c>
      <c r="S48" s="3365"/>
      <c r="T48" s="3365"/>
      <c r="U48" s="3365"/>
      <c r="V48" s="3365"/>
      <c r="W48" s="336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6.2540324315024209E-2</v>
      </c>
      <c r="F51" s="435" t="str">
        <f>IF(OR(E51&gt;=0.3,E51&lt;=-0.3),"超过30%","")</f>
        <v/>
      </c>
      <c r="G51" s="434">
        <f>IF(G46&lt;G47,G47/G46-1,G46/G47-1)</f>
        <v>1.1106004901961786E-3</v>
      </c>
      <c r="H51" s="435" t="str">
        <f>IF(OR(G51&gt;=0.3,G51&lt;=-0.3),"超过30%","")</f>
        <v/>
      </c>
      <c r="I51" s="434">
        <f>IF(I46&lt;I47,I47/I46-1,I46/I47-1)</f>
        <v>0.10803013303414</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0.12439244698696728</v>
      </c>
      <c r="F52" s="435" t="str">
        <f>IF(OR(E52&gt;=0.2,E52&lt;=-0.2),"超过20%","")</f>
        <v/>
      </c>
      <c r="G52" s="434">
        <f>IF(G47&lt;I47,I47/G47-1,G47/I47-1)</f>
        <v>5.7801920354997982E-2</v>
      </c>
      <c r="H52" s="435" t="str">
        <f>IF(OR(G52&gt;=0.2,G52&lt;=-0.2),"超过20%","")</f>
        <v/>
      </c>
      <c r="I52" s="434">
        <f>IF(I47&lt;E47,E47/I47-1,I47/E47-1)</f>
        <v>0.18938448965546906</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5.7037606768408633E-2</v>
      </c>
      <c r="F53" s="435" t="str">
        <f>IF(OR(E53&gt;=0.3,E53&lt;=-0.3),"超过30%","")</f>
        <v/>
      </c>
      <c r="G53" s="434">
        <f>IF(G46&lt;I46,I46/G46-1,G46/I46-1)</f>
        <v>4.632152588555849E-2</v>
      </c>
      <c r="H53" s="435" t="str">
        <f>IF(OR(G53&gt;=0.3,G53&lt;=-0.3),"超过30%","")</f>
        <v/>
      </c>
      <c r="I53" s="434">
        <f>IF(I46&lt;E46,E46/I46-1,I46/E46-1)</f>
        <v>1.0241671052098944E-2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66" t="s">
        <v>1887</v>
      </c>
      <c r="H55" s="3367"/>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25681</v>
      </c>
      <c r="C56" s="610">
        <v>1</v>
      </c>
      <c r="D56" s="890">
        <v>1</v>
      </c>
      <c r="E56" s="610">
        <f>'数据-汇总表'!E8+'数据-汇总表'!E9</f>
        <v>106641.76</v>
      </c>
      <c r="F56" s="833">
        <f t="shared" ref="F56:F64" si="15">ROUND(B56*E56/10000,0)</f>
        <v>273867</v>
      </c>
      <c r="G56" s="3368"/>
      <c r="H56" s="336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3210</v>
      </c>
      <c r="C57" s="163">
        <f t="shared" ref="C57:C64" si="16">IF($C$55="北京市系数",I57,J57)</f>
        <v>0.5</v>
      </c>
      <c r="D57" s="891">
        <v>0.25</v>
      </c>
      <c r="E57" s="614"/>
      <c r="F57" s="833">
        <f t="shared" si="15"/>
        <v>0</v>
      </c>
      <c r="G57" s="2748" t="s">
        <v>1892</v>
      </c>
      <c r="H57" s="834" t="str">
        <f>项目基本情况!B37</f>
        <v>九级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1284</v>
      </c>
      <c r="C58" s="163">
        <f t="shared" si="16"/>
        <v>0.2</v>
      </c>
      <c r="D58" s="891">
        <v>0.25</v>
      </c>
      <c r="E58" s="614"/>
      <c r="F58" s="833">
        <f t="shared" si="15"/>
        <v>0</v>
      </c>
      <c r="G58" s="2749"/>
      <c r="H58" s="834" t="str">
        <f>项目基本情况!B37</f>
        <v>九级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1284</v>
      </c>
      <c r="C59" s="163">
        <f t="shared" si="16"/>
        <v>0.2</v>
      </c>
      <c r="D59" s="891">
        <v>0.25</v>
      </c>
      <c r="E59" s="614"/>
      <c r="F59" s="833">
        <f t="shared" si="15"/>
        <v>0</v>
      </c>
      <c r="G59" s="2749"/>
      <c r="H59" s="834" t="str">
        <f>项目基本情况!B37</f>
        <v>九级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1284</v>
      </c>
      <c r="C60" s="163">
        <f t="shared" si="16"/>
        <v>0.2</v>
      </c>
      <c r="D60" s="891">
        <v>0.25</v>
      </c>
      <c r="E60" s="209">
        <f>'数据-汇总表'!E11</f>
        <v>0</v>
      </c>
      <c r="F60" s="833">
        <f t="shared" si="15"/>
        <v>0</v>
      </c>
      <c r="G60" s="1834" t="s">
        <v>1896</v>
      </c>
      <c r="H60" s="834" t="str">
        <f>项目基本情况!C37</f>
        <v>九级</v>
      </c>
      <c r="I60" s="838">
        <f>SUMIF(修正!A57:A68,H60,修正!E57:E68)</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1284</v>
      </c>
      <c r="C61" s="163">
        <f t="shared" si="16"/>
        <v>0.2</v>
      </c>
      <c r="D61" s="891">
        <v>0.25</v>
      </c>
      <c r="E61" s="209">
        <f>'数据-汇总表'!E12</f>
        <v>8973.9299999999985</v>
      </c>
      <c r="F61" s="833">
        <f t="shared" si="15"/>
        <v>1152</v>
      </c>
      <c r="G61" s="839" t="s">
        <v>1898</v>
      </c>
      <c r="H61" s="834" t="str">
        <f>IF(G61="商业",项目基本情况!B37,IF(G61="办公",项目基本情况!C37,IF(G61="住宅",项目基本情况!D37,项目基本情况!E37)))</f>
        <v>九级</v>
      </c>
      <c r="I61" s="838">
        <f>SUMIF(修正!A57:A68,H61,修正!F57:F68)</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642</v>
      </c>
      <c r="C62" s="163">
        <f t="shared" si="16"/>
        <v>0.1</v>
      </c>
      <c r="D62" s="891">
        <v>0.25</v>
      </c>
      <c r="E62" s="209">
        <f>'数据-汇总表'!E13</f>
        <v>23852.28</v>
      </c>
      <c r="F62" s="833">
        <f t="shared" si="15"/>
        <v>1531</v>
      </c>
      <c r="G62" s="839" t="s">
        <v>1900</v>
      </c>
      <c r="H62" s="834" t="str">
        <f>IF(G62="商业",项目基本情况!B37,IF(G62="办公",项目基本情况!C37,IF(G62="住宅",项目基本情况!D37,项目基本情况!E37)))</f>
        <v>九级</v>
      </c>
      <c r="I62" s="838">
        <f>SUMIF(修正!A57:A68,H62,修正!G57:G68)</f>
        <v>0.1</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642</v>
      </c>
      <c r="C63" s="163">
        <f t="shared" si="16"/>
        <v>0.1</v>
      </c>
      <c r="D63" s="891">
        <v>0.25</v>
      </c>
      <c r="E63" s="209">
        <f>'数据-汇总表'!E14</f>
        <v>0</v>
      </c>
      <c r="F63" s="833">
        <f t="shared" si="15"/>
        <v>0</v>
      </c>
      <c r="G63" s="1834" t="s">
        <v>1892</v>
      </c>
      <c r="H63" s="834" t="str">
        <f>项目基本情况!B37</f>
        <v>九级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642</v>
      </c>
      <c r="C64" s="163">
        <f t="shared" si="16"/>
        <v>0.1</v>
      </c>
      <c r="D64" s="891">
        <v>0.25</v>
      </c>
      <c r="E64" s="209">
        <f>'数据-汇总表'!E15</f>
        <v>0</v>
      </c>
      <c r="F64" s="833">
        <f t="shared" si="15"/>
        <v>0</v>
      </c>
      <c r="G64" s="1835" t="s">
        <v>1896</v>
      </c>
      <c r="H64" s="844" t="str">
        <f>项目基本情况!C37</f>
        <v>九级</v>
      </c>
      <c r="I64" s="840">
        <f>SUMIF(修正!A57:A68,H64,修正!G57:G68)</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139467.96999999997</v>
      </c>
      <c r="F65" s="617">
        <f>IF(B46="楼面地价",SUM(F56:F64),ROUND(C48*E65/10000,0))</f>
        <v>276550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3164" t="s">
        <v>308</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f>C79+0.5</f>
        <v>0.5</v>
      </c>
      <c r="E79" s="480">
        <f t="shared" ref="E79:I79" si="21">D79+0.5</f>
        <v>1</v>
      </c>
      <c r="F79" s="480">
        <f t="shared" si="21"/>
        <v>1.5</v>
      </c>
      <c r="G79" s="480">
        <f t="shared" si="21"/>
        <v>2</v>
      </c>
      <c r="H79" s="480">
        <f t="shared" si="21"/>
        <v>2.5</v>
      </c>
      <c r="I79" s="480">
        <f t="shared" si="21"/>
        <v>3</v>
      </c>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98</v>
      </c>
      <c r="E88" s="475">
        <f>D88-$K15</f>
        <v>96</v>
      </c>
      <c r="F88" s="475">
        <f>E88-$K15</f>
        <v>94</v>
      </c>
      <c r="G88" s="475">
        <f>F88-$K15</f>
        <v>92</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0(含)-50000</v>
      </c>
      <c r="D115" s="461" t="str">
        <f t="shared" ref="D115:M115" si="26">D116&amp;"(含)"&amp;"-"&amp;E116</f>
        <v>50000(含)-100000</v>
      </c>
      <c r="E115" s="461" t="str">
        <f t="shared" si="26"/>
        <v>100000(含)-150000</v>
      </c>
      <c r="F115" s="461" t="str">
        <f t="shared" si="26"/>
        <v>150000(含)-200000</v>
      </c>
      <c r="G115" s="461" t="str">
        <f t="shared" si="26"/>
        <v>200000(含)-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f>C116+50000</f>
        <v>50000</v>
      </c>
      <c r="E116" s="6">
        <f t="shared" ref="E116:G116" si="27">D116+50000</f>
        <v>100000</v>
      </c>
      <c r="F116" s="6">
        <f t="shared" si="27"/>
        <v>150000</v>
      </c>
      <c r="G116" s="6">
        <f t="shared" si="27"/>
        <v>200000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100</v>
      </c>
      <c r="D117" s="521">
        <f>C117+3</f>
        <v>103</v>
      </c>
      <c r="E117" s="521">
        <f t="shared" ref="E117:G117" si="28">D117+3</f>
        <v>106</v>
      </c>
      <c r="F117" s="521">
        <f t="shared" si="28"/>
        <v>109</v>
      </c>
      <c r="G117" s="521">
        <f t="shared" si="28"/>
        <v>112</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3165" t="s">
        <v>3655</v>
      </c>
      <c r="D118" s="3165" t="s">
        <v>3656</v>
      </c>
      <c r="E118" s="3165" t="s">
        <v>3657</v>
      </c>
      <c r="F118" s="3165" t="s">
        <v>3658</v>
      </c>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9">C119-$K39</f>
        <v>99</v>
      </c>
      <c r="E119" s="475">
        <f t="shared" si="29"/>
        <v>98</v>
      </c>
      <c r="F119" s="475">
        <f t="shared" si="29"/>
        <v>97</v>
      </c>
      <c r="G119" s="475">
        <f t="shared" si="29"/>
        <v>96</v>
      </c>
      <c r="H119" s="475">
        <f t="shared" si="29"/>
        <v>95</v>
      </c>
      <c r="I119" s="475">
        <f t="shared" si="29"/>
        <v>94</v>
      </c>
      <c r="J119" s="475">
        <f t="shared" si="29"/>
        <v>93</v>
      </c>
      <c r="K119" s="475">
        <f t="shared" si="29"/>
        <v>92</v>
      </c>
      <c r="L119" s="475">
        <f t="shared" si="29"/>
        <v>91</v>
      </c>
      <c r="M119" s="476">
        <f t="shared" si="29"/>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30">C121-$K40</f>
        <v>100</v>
      </c>
      <c r="E121" s="475">
        <f t="shared" si="30"/>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3659</v>
      </c>
      <c r="D122" s="485" t="s">
        <v>3660</v>
      </c>
      <c r="E122" s="485" t="s">
        <v>3661</v>
      </c>
      <c r="F122" s="485" t="s">
        <v>3662</v>
      </c>
      <c r="G122" s="485" t="s">
        <v>3663</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31">C123-$K41</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3664</v>
      </c>
      <c r="D124" s="485" t="s">
        <v>3665</v>
      </c>
      <c r="E124" s="513" t="s">
        <v>3517</v>
      </c>
      <c r="F124" s="513" t="s">
        <v>3666</v>
      </c>
      <c r="G124" s="513" t="s">
        <v>3667</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2">C125-$K42</f>
        <v>98</v>
      </c>
      <c r="E125" s="475">
        <f t="shared" si="32"/>
        <v>96</v>
      </c>
      <c r="F125" s="475">
        <f t="shared" si="32"/>
        <v>94</v>
      </c>
      <c r="G125" s="475">
        <f t="shared" si="32"/>
        <v>92</v>
      </c>
      <c r="H125" s="475">
        <f t="shared" si="32"/>
        <v>90</v>
      </c>
      <c r="I125" s="475">
        <f t="shared" si="32"/>
        <v>88</v>
      </c>
      <c r="J125" s="475">
        <f t="shared" si="32"/>
        <v>86</v>
      </c>
      <c r="K125" s="475">
        <f t="shared" si="32"/>
        <v>84</v>
      </c>
      <c r="L125" s="475">
        <f t="shared" si="32"/>
        <v>82</v>
      </c>
      <c r="M125" s="476">
        <f t="shared" si="32"/>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AD16"/>
  <sheetViews>
    <sheetView topLeftCell="B1" workbookViewId="0">
      <selection activeCell="H5" sqref="H5"/>
    </sheetView>
  </sheetViews>
  <sheetFormatPr defaultRowHeight="13.5"/>
  <cols>
    <col min="1" max="1" width="47.5" style="1155" customWidth="1"/>
    <col min="2" max="31" width="20" style="1155" customWidth="1"/>
    <col min="32" max="16384" width="9" style="1155"/>
  </cols>
  <sheetData>
    <row r="1" spans="1:30">
      <c r="A1" s="1155" t="s">
        <v>3520</v>
      </c>
      <c r="B1" s="1155" t="s">
        <v>3521</v>
      </c>
      <c r="C1" s="1155" t="s">
        <v>3522</v>
      </c>
      <c r="D1" s="1155" t="s">
        <v>3523</v>
      </c>
      <c r="E1" s="1155" t="s">
        <v>3524</v>
      </c>
      <c r="F1" s="1155" t="s">
        <v>3525</v>
      </c>
      <c r="G1" s="1155" t="s">
        <v>3526</v>
      </c>
      <c r="H1" s="1155" t="s">
        <v>3527</v>
      </c>
      <c r="I1" s="1155" t="s">
        <v>3528</v>
      </c>
      <c r="J1" s="1155" t="s">
        <v>3529</v>
      </c>
      <c r="K1" s="1155" t="s">
        <v>3530</v>
      </c>
      <c r="L1" s="1155" t="s">
        <v>3531</v>
      </c>
      <c r="M1" s="1155" t="s">
        <v>3532</v>
      </c>
      <c r="N1" s="1155" t="s">
        <v>3533</v>
      </c>
      <c r="O1" s="1155" t="s">
        <v>3534</v>
      </c>
      <c r="P1" s="1155" t="s">
        <v>3535</v>
      </c>
      <c r="Q1" s="1155" t="s">
        <v>3536</v>
      </c>
      <c r="R1" s="1155" t="s">
        <v>3537</v>
      </c>
      <c r="S1" s="1155" t="s">
        <v>3538</v>
      </c>
      <c r="T1" s="1155" t="s">
        <v>3539</v>
      </c>
      <c r="U1" s="1155" t="s">
        <v>3540</v>
      </c>
      <c r="V1" s="1155" t="s">
        <v>3541</v>
      </c>
      <c r="W1" s="1155" t="s">
        <v>3542</v>
      </c>
      <c r="X1" s="1155" t="s">
        <v>3543</v>
      </c>
      <c r="Y1" s="1155" t="s">
        <v>3544</v>
      </c>
      <c r="Z1" s="1155" t="s">
        <v>3545</v>
      </c>
      <c r="AA1" s="1155" t="s">
        <v>3546</v>
      </c>
      <c r="AB1" s="1155" t="s">
        <v>3547</v>
      </c>
      <c r="AC1" s="1155" t="s">
        <v>3548</v>
      </c>
      <c r="AD1" s="1155" t="s">
        <v>3549</v>
      </c>
    </row>
    <row r="2" spans="1:30">
      <c r="A2" s="1155" t="s">
        <v>3550</v>
      </c>
      <c r="B2" s="1155" t="s">
        <v>3384</v>
      </c>
      <c r="C2" s="1155" t="s">
        <v>3551</v>
      </c>
      <c r="D2" s="1155">
        <v>67880.77</v>
      </c>
      <c r="E2" s="1155">
        <v>110585.39</v>
      </c>
      <c r="F2" s="1155" t="s">
        <v>3552</v>
      </c>
      <c r="G2" s="1155" t="s">
        <v>3553</v>
      </c>
      <c r="H2" s="1155" t="s">
        <v>3554</v>
      </c>
      <c r="I2" s="1155" t="s">
        <v>3555</v>
      </c>
      <c r="J2" s="1155" t="s">
        <v>3556</v>
      </c>
      <c r="K2" s="1155" t="s">
        <v>3555</v>
      </c>
      <c r="L2" s="1155" t="s">
        <v>3557</v>
      </c>
      <c r="M2" s="1155" t="s">
        <v>3558</v>
      </c>
      <c r="N2" s="1155" t="s">
        <v>3559</v>
      </c>
      <c r="O2" s="1155">
        <v>253300</v>
      </c>
      <c r="P2" s="1155">
        <v>50700</v>
      </c>
      <c r="Q2" s="1155" t="s">
        <v>3560</v>
      </c>
      <c r="R2" s="1155">
        <v>253300</v>
      </c>
      <c r="S2" s="1155">
        <v>37315.43</v>
      </c>
      <c r="T2" s="1155">
        <v>2487.6999999999998</v>
      </c>
      <c r="U2" s="1155">
        <v>22905</v>
      </c>
      <c r="V2" s="1155" t="s">
        <v>3555</v>
      </c>
      <c r="W2" s="1155">
        <v>0</v>
      </c>
      <c r="X2" s="1155">
        <v>291295</v>
      </c>
      <c r="Y2" s="1155" t="s">
        <v>3561</v>
      </c>
      <c r="Z2" s="1155">
        <v>66000</v>
      </c>
      <c r="AA2" s="1155">
        <v>66000</v>
      </c>
      <c r="AB2" s="1155">
        <v>26341</v>
      </c>
      <c r="AC2" s="1155">
        <v>15</v>
      </c>
      <c r="AD2" s="1155" t="s">
        <v>3562</v>
      </c>
    </row>
    <row r="3" spans="1:30">
      <c r="A3" s="1155" t="s">
        <v>3563</v>
      </c>
      <c r="B3" s="1155" t="s">
        <v>3384</v>
      </c>
      <c r="C3" s="1155" t="s">
        <v>3564</v>
      </c>
      <c r="D3" s="1155">
        <v>66285.119999999995</v>
      </c>
      <c r="E3" s="1155">
        <v>155484.29</v>
      </c>
      <c r="F3" s="1155" t="s">
        <v>3552</v>
      </c>
      <c r="G3" s="1155" t="s">
        <v>3565</v>
      </c>
      <c r="H3" s="1155" t="s">
        <v>3566</v>
      </c>
      <c r="I3" s="1155" t="s">
        <v>3555</v>
      </c>
      <c r="J3" s="1155" t="s">
        <v>3556</v>
      </c>
      <c r="K3" s="1155" t="s">
        <v>3555</v>
      </c>
      <c r="L3" s="1155" t="s">
        <v>3567</v>
      </c>
      <c r="M3" s="1155" t="s">
        <v>3558</v>
      </c>
      <c r="N3" s="1155" t="s">
        <v>3568</v>
      </c>
      <c r="O3" s="1155">
        <v>198600</v>
      </c>
      <c r="P3" s="1155">
        <v>39800</v>
      </c>
      <c r="Q3" s="1155" t="s">
        <v>3569</v>
      </c>
      <c r="R3" s="1155">
        <v>198600</v>
      </c>
      <c r="S3" s="1155">
        <v>29961.47</v>
      </c>
      <c r="T3" s="1155">
        <v>1997.43</v>
      </c>
      <c r="U3" s="1155">
        <v>12773</v>
      </c>
      <c r="V3" s="1155" t="s">
        <v>3555</v>
      </c>
      <c r="W3" s="1155">
        <v>0</v>
      </c>
      <c r="X3" s="1155">
        <v>228390</v>
      </c>
      <c r="Y3" s="1155" t="s">
        <v>3561</v>
      </c>
      <c r="Z3" s="1155">
        <v>39000</v>
      </c>
      <c r="AA3" s="1155">
        <v>39000</v>
      </c>
      <c r="AB3" s="1155">
        <v>14689</v>
      </c>
      <c r="AC3" s="1155">
        <v>15</v>
      </c>
      <c r="AD3" s="1155" t="s">
        <v>3570</v>
      </c>
    </row>
    <row r="4" spans="1:30">
      <c r="A4" s="1155" t="s">
        <v>3571</v>
      </c>
      <c r="B4" s="1155" t="s">
        <v>3384</v>
      </c>
      <c r="C4" s="1155" t="s">
        <v>3572</v>
      </c>
      <c r="D4" s="1155">
        <v>41313.96</v>
      </c>
      <c r="E4" s="1155">
        <v>93436.29</v>
      </c>
      <c r="F4" s="1155" t="s">
        <v>3573</v>
      </c>
      <c r="G4" s="1155" t="s">
        <v>3574</v>
      </c>
      <c r="H4" s="1155" t="s">
        <v>3575</v>
      </c>
      <c r="I4" s="1155">
        <v>0.63</v>
      </c>
      <c r="J4" s="1155" t="s">
        <v>3556</v>
      </c>
      <c r="K4" s="1155" t="s">
        <v>3555</v>
      </c>
      <c r="L4" s="1155" t="s">
        <v>3576</v>
      </c>
      <c r="M4" s="1155" t="s">
        <v>3558</v>
      </c>
      <c r="N4" s="1155" t="s">
        <v>3577</v>
      </c>
      <c r="O4" s="1155">
        <v>269000</v>
      </c>
      <c r="P4" s="1155">
        <v>54000</v>
      </c>
      <c r="Q4" s="1155" t="s">
        <v>3578</v>
      </c>
      <c r="R4" s="1155">
        <v>309350</v>
      </c>
      <c r="S4" s="1155">
        <v>74877.83</v>
      </c>
      <c r="T4" s="1155">
        <v>4991.8599999999997</v>
      </c>
      <c r="U4" s="1155">
        <v>33108</v>
      </c>
      <c r="V4" s="1155" t="s">
        <v>3555</v>
      </c>
      <c r="W4" s="1155">
        <v>15</v>
      </c>
      <c r="X4" s="1155">
        <v>309350</v>
      </c>
      <c r="Y4" s="1155" t="s">
        <v>3579</v>
      </c>
      <c r="Z4" s="1155">
        <v>64000</v>
      </c>
      <c r="AA4" s="1155">
        <v>64000</v>
      </c>
      <c r="AB4" s="1155">
        <v>33108</v>
      </c>
      <c r="AC4" s="1155">
        <v>15</v>
      </c>
      <c r="AD4" s="1155" t="s">
        <v>3562</v>
      </c>
    </row>
    <row r="5" spans="1:30" s="3163" customFormat="1">
      <c r="A5" s="3163" t="s">
        <v>3580</v>
      </c>
      <c r="B5" s="3163" t="s">
        <v>3384</v>
      </c>
      <c r="C5" s="3163" t="s">
        <v>3581</v>
      </c>
      <c r="D5" s="3163">
        <v>120847.74</v>
      </c>
      <c r="E5" s="3163">
        <v>148831.22</v>
      </c>
      <c r="F5" s="3163" t="s">
        <v>3573</v>
      </c>
      <c r="G5" s="3163" t="s">
        <v>3582</v>
      </c>
      <c r="H5" s="3163" t="s">
        <v>3583</v>
      </c>
      <c r="I5" s="3163" t="s">
        <v>3555</v>
      </c>
      <c r="J5" s="3163" t="s">
        <v>3556</v>
      </c>
      <c r="K5" s="3163" t="s">
        <v>3555</v>
      </c>
      <c r="L5" s="3163" t="s">
        <v>3584</v>
      </c>
      <c r="M5" s="3163" t="s">
        <v>3558</v>
      </c>
      <c r="N5" s="3163" t="s">
        <v>3585</v>
      </c>
      <c r="O5" s="3163">
        <v>350000</v>
      </c>
      <c r="P5" s="3163">
        <v>70000</v>
      </c>
      <c r="Q5" s="3163" t="s">
        <v>3586</v>
      </c>
      <c r="R5" s="3163">
        <v>350000</v>
      </c>
      <c r="S5" s="3163">
        <v>28962.06</v>
      </c>
      <c r="T5" s="3163">
        <v>1930.8</v>
      </c>
      <c r="U5" s="3163">
        <v>23517</v>
      </c>
      <c r="V5" s="3163" t="s">
        <v>3555</v>
      </c>
      <c r="W5" s="3163">
        <v>0</v>
      </c>
      <c r="X5" s="3163">
        <v>402500</v>
      </c>
      <c r="Y5" s="3163" t="s">
        <v>3561</v>
      </c>
      <c r="Z5" s="3163">
        <v>56000</v>
      </c>
      <c r="AA5" s="3163">
        <v>56000</v>
      </c>
      <c r="AB5" s="3163">
        <v>27044</v>
      </c>
      <c r="AC5" s="3163">
        <v>15</v>
      </c>
      <c r="AD5" s="3163" t="s">
        <v>3570</v>
      </c>
    </row>
    <row r="6" spans="1:30">
      <c r="A6" s="1155" t="s">
        <v>3587</v>
      </c>
      <c r="B6" s="1155" t="s">
        <v>3384</v>
      </c>
      <c r="C6" s="1155" t="s">
        <v>3588</v>
      </c>
      <c r="D6" s="1155">
        <v>65662.41</v>
      </c>
      <c r="E6" s="1155">
        <v>186128.2</v>
      </c>
      <c r="F6" s="1155" t="s">
        <v>3552</v>
      </c>
      <c r="G6" s="1155" t="s">
        <v>3589</v>
      </c>
      <c r="H6" s="1155" t="s">
        <v>3590</v>
      </c>
      <c r="I6" s="1155" t="s">
        <v>3555</v>
      </c>
      <c r="J6" s="1155" t="s">
        <v>3556</v>
      </c>
      <c r="K6" s="1155" t="s">
        <v>3555</v>
      </c>
      <c r="L6" s="1155" t="s">
        <v>3591</v>
      </c>
      <c r="M6" s="1155" t="s">
        <v>3558</v>
      </c>
      <c r="N6" s="1155" t="s">
        <v>3592</v>
      </c>
      <c r="O6" s="1155">
        <v>427000</v>
      </c>
      <c r="P6" s="1155">
        <v>86000</v>
      </c>
      <c r="Q6" s="1155" t="s">
        <v>3593</v>
      </c>
      <c r="R6" s="1155">
        <v>427000</v>
      </c>
      <c r="S6" s="1155">
        <v>65029.59</v>
      </c>
      <c r="T6" s="1155">
        <v>4335.3100000000004</v>
      </c>
      <c r="U6" s="1155">
        <v>22941</v>
      </c>
      <c r="V6" s="1155" t="s">
        <v>3555</v>
      </c>
      <c r="W6" s="1155">
        <v>0</v>
      </c>
      <c r="X6" s="1155">
        <v>491050</v>
      </c>
      <c r="Y6" s="1155" t="s">
        <v>3561</v>
      </c>
      <c r="Z6" s="1155">
        <v>66000</v>
      </c>
      <c r="AA6" s="1155">
        <v>66000</v>
      </c>
      <c r="AB6" s="1155">
        <v>26382</v>
      </c>
      <c r="AC6" s="1155">
        <v>15</v>
      </c>
      <c r="AD6" s="1155" t="s">
        <v>3562</v>
      </c>
    </row>
    <row r="7" spans="1:30">
      <c r="A7" s="1155" t="s">
        <v>3594</v>
      </c>
      <c r="B7" s="1155" t="s">
        <v>3384</v>
      </c>
      <c r="C7" s="1155" t="s">
        <v>3595</v>
      </c>
      <c r="D7" s="1155">
        <v>65957.25</v>
      </c>
      <c r="E7" s="1155">
        <v>154439.92000000001</v>
      </c>
      <c r="F7" s="1155" t="s">
        <v>3573</v>
      </c>
      <c r="G7" s="1155" t="s">
        <v>3596</v>
      </c>
      <c r="H7" s="1155" t="s">
        <v>3597</v>
      </c>
      <c r="I7" s="1155" t="s">
        <v>3555</v>
      </c>
      <c r="J7" s="1155" t="s">
        <v>3556</v>
      </c>
      <c r="K7" s="1155" t="s">
        <v>3555</v>
      </c>
      <c r="L7" s="1155" t="s">
        <v>3598</v>
      </c>
      <c r="M7" s="1155" t="s">
        <v>3558</v>
      </c>
      <c r="N7" s="1155" t="s">
        <v>3599</v>
      </c>
      <c r="O7" s="1155">
        <v>354000</v>
      </c>
      <c r="P7" s="1155">
        <v>71000</v>
      </c>
      <c r="Q7" s="1155" t="s">
        <v>3600</v>
      </c>
      <c r="R7" s="1155">
        <v>354000</v>
      </c>
      <c r="S7" s="1155">
        <v>53671.13</v>
      </c>
      <c r="T7" s="1155">
        <v>3578.08</v>
      </c>
      <c r="U7" s="1155">
        <v>22922</v>
      </c>
      <c r="V7" s="1155" t="s">
        <v>3555</v>
      </c>
      <c r="W7" s="1155">
        <v>0</v>
      </c>
      <c r="X7" s="1155">
        <v>407100</v>
      </c>
      <c r="Y7" s="1155" t="s">
        <v>3561</v>
      </c>
      <c r="Z7" s="1155">
        <v>50000</v>
      </c>
      <c r="AA7" s="1155">
        <v>50000</v>
      </c>
      <c r="AB7" s="1155">
        <v>26360</v>
      </c>
      <c r="AC7" s="1155">
        <v>15</v>
      </c>
      <c r="AD7" s="1155" t="s">
        <v>3570</v>
      </c>
    </row>
    <row r="8" spans="1:30" s="3163" customFormat="1">
      <c r="A8" s="3163" t="s">
        <v>3601</v>
      </c>
      <c r="B8" s="3163" t="s">
        <v>3384</v>
      </c>
      <c r="C8" s="3163" t="s">
        <v>3602</v>
      </c>
      <c r="D8" s="3163">
        <v>107180.67</v>
      </c>
      <c r="E8" s="3163">
        <v>219497.48</v>
      </c>
      <c r="F8" s="3163" t="s">
        <v>3573</v>
      </c>
      <c r="G8" s="3163" t="s">
        <v>3603</v>
      </c>
      <c r="H8" s="3163" t="s">
        <v>3604</v>
      </c>
      <c r="I8" s="3163" t="s">
        <v>3555</v>
      </c>
      <c r="J8" s="3163" t="s">
        <v>3556</v>
      </c>
      <c r="K8" s="3163" t="s">
        <v>3555</v>
      </c>
      <c r="L8" s="3163" t="s">
        <v>3605</v>
      </c>
      <c r="M8" s="3163" t="s">
        <v>3558</v>
      </c>
      <c r="N8" s="3163" t="s">
        <v>3606</v>
      </c>
      <c r="O8" s="3163">
        <v>521000</v>
      </c>
      <c r="P8" s="3163">
        <v>105000</v>
      </c>
      <c r="Q8" s="3163" t="s">
        <v>3607</v>
      </c>
      <c r="R8" s="3163">
        <v>541500</v>
      </c>
      <c r="S8" s="3163">
        <v>50522.16</v>
      </c>
      <c r="T8" s="3163">
        <v>3368.14</v>
      </c>
      <c r="U8" s="3163">
        <v>24670</v>
      </c>
      <c r="V8" s="3163" t="s">
        <v>3555</v>
      </c>
      <c r="W8" s="3163">
        <v>3.93</v>
      </c>
      <c r="X8" s="3163">
        <v>599150</v>
      </c>
      <c r="Y8" s="3163" t="s">
        <v>3561</v>
      </c>
      <c r="Z8" s="3163">
        <v>55000</v>
      </c>
      <c r="AA8" s="3163">
        <v>55000</v>
      </c>
      <c r="AB8" s="3163">
        <v>27296</v>
      </c>
      <c r="AC8" s="3163">
        <v>15</v>
      </c>
      <c r="AD8" s="3163" t="s">
        <v>3570</v>
      </c>
    </row>
    <row r="9" spans="1:30">
      <c r="A9" s="1155" t="s">
        <v>3608</v>
      </c>
      <c r="B9" s="1155" t="s">
        <v>3384</v>
      </c>
      <c r="C9" s="1155" t="s">
        <v>3609</v>
      </c>
      <c r="D9" s="1155">
        <v>61471.54</v>
      </c>
      <c r="E9" s="1155">
        <v>127341.9</v>
      </c>
      <c r="F9" s="1155" t="s">
        <v>3573</v>
      </c>
      <c r="G9" s="1155" t="s">
        <v>3610</v>
      </c>
      <c r="H9" s="1155" t="s">
        <v>3611</v>
      </c>
      <c r="I9" s="1155" t="s">
        <v>3555</v>
      </c>
      <c r="J9" s="1155" t="s">
        <v>3556</v>
      </c>
      <c r="K9" s="1155" t="s">
        <v>3555</v>
      </c>
      <c r="L9" s="1155" t="s">
        <v>3612</v>
      </c>
      <c r="M9" s="1155" t="s">
        <v>3558</v>
      </c>
      <c r="N9" s="1155" t="s">
        <v>3613</v>
      </c>
      <c r="O9" s="1155">
        <v>278000</v>
      </c>
      <c r="P9" s="1155">
        <v>56000</v>
      </c>
      <c r="Q9" s="1155" t="s">
        <v>3614</v>
      </c>
      <c r="R9" s="1155">
        <v>319700</v>
      </c>
      <c r="S9" s="1155">
        <v>52007.81</v>
      </c>
      <c r="T9" s="1155">
        <v>3467.19</v>
      </c>
      <c r="U9" s="1155">
        <v>25106</v>
      </c>
      <c r="V9" s="1155" t="s">
        <v>3555</v>
      </c>
      <c r="W9" s="1155">
        <v>15</v>
      </c>
      <c r="X9" s="1155">
        <v>319700</v>
      </c>
      <c r="Y9" s="1155" t="s">
        <v>3579</v>
      </c>
      <c r="Z9" s="1155">
        <v>55000</v>
      </c>
      <c r="AA9" s="1155">
        <v>55000</v>
      </c>
      <c r="AB9" s="1155">
        <v>25106</v>
      </c>
      <c r="AC9" s="1155">
        <v>15</v>
      </c>
      <c r="AD9" s="1155" t="s">
        <v>3570</v>
      </c>
    </row>
    <row r="10" spans="1:30">
      <c r="A10" s="1155" t="s">
        <v>3615</v>
      </c>
      <c r="B10" s="1155" t="s">
        <v>3384</v>
      </c>
      <c r="C10" s="1155" t="s">
        <v>3616</v>
      </c>
      <c r="D10" s="1155">
        <v>110126.86</v>
      </c>
      <c r="E10" s="1155">
        <v>133364.91</v>
      </c>
      <c r="F10" s="1155" t="s">
        <v>3573</v>
      </c>
      <c r="G10" s="1155" t="s">
        <v>3617</v>
      </c>
      <c r="H10" s="1155" t="s">
        <v>3618</v>
      </c>
      <c r="I10" s="1155" t="s">
        <v>3555</v>
      </c>
      <c r="J10" s="1155" t="s">
        <v>3556</v>
      </c>
      <c r="K10" s="1155" t="s">
        <v>3555</v>
      </c>
      <c r="L10" s="1155" t="s">
        <v>3612</v>
      </c>
      <c r="M10" s="1155" t="s">
        <v>3558</v>
      </c>
      <c r="N10" s="1155" t="s">
        <v>3619</v>
      </c>
      <c r="O10" s="1155">
        <v>270000</v>
      </c>
      <c r="P10" s="1155">
        <v>54000</v>
      </c>
      <c r="Q10" s="1155" t="s">
        <v>3614</v>
      </c>
      <c r="R10" s="1155">
        <v>270000</v>
      </c>
      <c r="S10" s="1155">
        <v>24517.18</v>
      </c>
      <c r="T10" s="1155">
        <v>1634.48</v>
      </c>
      <c r="U10" s="1155">
        <v>20245</v>
      </c>
      <c r="V10" s="1155" t="s">
        <v>3555</v>
      </c>
      <c r="W10" s="1155">
        <v>0</v>
      </c>
      <c r="X10" s="1155">
        <v>310500</v>
      </c>
      <c r="Y10" s="1155" t="s">
        <v>3561</v>
      </c>
      <c r="Z10" s="1155">
        <v>60000</v>
      </c>
      <c r="AA10" s="1155">
        <v>60000</v>
      </c>
      <c r="AB10" s="1155">
        <v>23282</v>
      </c>
      <c r="AC10" s="1155">
        <v>15</v>
      </c>
      <c r="AD10" s="1155" t="s">
        <v>3562</v>
      </c>
    </row>
    <row r="11" spans="1:30" s="3163" customFormat="1">
      <c r="A11" s="3163" t="s">
        <v>3620</v>
      </c>
      <c r="B11" s="3163" t="s">
        <v>3384</v>
      </c>
      <c r="C11" s="3163" t="s">
        <v>3621</v>
      </c>
      <c r="D11" s="3163">
        <v>49176.79</v>
      </c>
      <c r="E11" s="3163">
        <v>108188.94</v>
      </c>
      <c r="F11" s="3163" t="s">
        <v>3552</v>
      </c>
      <c r="G11" s="3163" t="s">
        <v>3589</v>
      </c>
      <c r="H11" s="3163" t="s">
        <v>3622</v>
      </c>
      <c r="I11" s="3163" t="s">
        <v>3555</v>
      </c>
      <c r="J11" s="3163" t="s">
        <v>3556</v>
      </c>
      <c r="K11" s="3163" t="s">
        <v>3555</v>
      </c>
      <c r="L11" s="3163" t="s">
        <v>3623</v>
      </c>
      <c r="M11" s="3163" t="s">
        <v>3558</v>
      </c>
      <c r="N11" s="3163" t="s">
        <v>3613</v>
      </c>
      <c r="O11" s="3163">
        <v>270000</v>
      </c>
      <c r="P11" s="3163">
        <v>54000</v>
      </c>
      <c r="Q11" s="3163" t="s">
        <v>3555</v>
      </c>
      <c r="R11" s="3163">
        <v>270000</v>
      </c>
      <c r="S11" s="3163">
        <v>54903.95</v>
      </c>
      <c r="T11" s="3163">
        <v>3660.26</v>
      </c>
      <c r="U11" s="3163">
        <v>24956</v>
      </c>
      <c r="V11" s="3163" t="s">
        <v>3555</v>
      </c>
      <c r="W11" s="3163">
        <v>0</v>
      </c>
      <c r="X11" s="3163">
        <v>310500</v>
      </c>
      <c r="Y11" s="3163" t="s">
        <v>3561</v>
      </c>
      <c r="Z11" s="3163">
        <v>53000</v>
      </c>
      <c r="AA11" s="3163">
        <v>53000</v>
      </c>
      <c r="AB11" s="3163">
        <v>28700</v>
      </c>
      <c r="AC11" s="3163">
        <v>15</v>
      </c>
      <c r="AD11" s="3163" t="s">
        <v>3570</v>
      </c>
    </row>
    <row r="12" spans="1:30">
      <c r="A12" s="1155" t="s">
        <v>3624</v>
      </c>
      <c r="B12" s="1155" t="s">
        <v>3384</v>
      </c>
      <c r="C12" s="1155" t="s">
        <v>3625</v>
      </c>
      <c r="D12" s="1155">
        <v>14652.77</v>
      </c>
      <c r="E12" s="1155">
        <v>36631.919999999998</v>
      </c>
      <c r="F12" s="1155" t="s">
        <v>3552</v>
      </c>
      <c r="G12" s="1155" t="s">
        <v>3589</v>
      </c>
      <c r="H12" s="1155" t="s">
        <v>3626</v>
      </c>
      <c r="I12" s="1155">
        <v>2.73</v>
      </c>
      <c r="J12" s="1155" t="s">
        <v>3556</v>
      </c>
      <c r="K12" s="1155" t="s">
        <v>3555</v>
      </c>
      <c r="L12" s="1155" t="s">
        <v>3623</v>
      </c>
      <c r="M12" s="1155" t="s">
        <v>3558</v>
      </c>
      <c r="N12" s="1155" t="s">
        <v>3627</v>
      </c>
      <c r="O12" s="1155">
        <v>113000</v>
      </c>
      <c r="P12" s="1155">
        <v>23000</v>
      </c>
      <c r="Q12" s="1155" t="s">
        <v>3555</v>
      </c>
      <c r="R12" s="1155">
        <v>129950</v>
      </c>
      <c r="S12" s="1155">
        <v>88686.3</v>
      </c>
      <c r="T12" s="1155">
        <v>5912.42</v>
      </c>
      <c r="U12" s="1155">
        <v>35475</v>
      </c>
      <c r="V12" s="1155" t="s">
        <v>3555</v>
      </c>
      <c r="W12" s="1155">
        <v>15</v>
      </c>
      <c r="X12" s="1155">
        <v>129950</v>
      </c>
      <c r="Y12" s="1155" t="s">
        <v>3579</v>
      </c>
      <c r="Z12" s="1155">
        <v>62000</v>
      </c>
      <c r="AA12" s="1155">
        <v>62000</v>
      </c>
      <c r="AB12" s="1155">
        <v>35475</v>
      </c>
      <c r="AC12" s="1155">
        <v>15</v>
      </c>
      <c r="AD12" s="1155" t="s">
        <v>3562</v>
      </c>
    </row>
    <row r="13" spans="1:30">
      <c r="A13" s="1155" t="s">
        <v>3628</v>
      </c>
      <c r="B13" s="1155" t="s">
        <v>3384</v>
      </c>
      <c r="C13" s="1155" t="s">
        <v>3629</v>
      </c>
      <c r="D13" s="1155">
        <v>45099.11</v>
      </c>
      <c r="E13" s="1155">
        <v>102116.42</v>
      </c>
      <c r="F13" s="1155" t="s">
        <v>3573</v>
      </c>
      <c r="G13" s="1155" t="s">
        <v>3630</v>
      </c>
      <c r="H13" s="1155" t="s">
        <v>3631</v>
      </c>
      <c r="I13" s="1155" t="s">
        <v>3555</v>
      </c>
      <c r="J13" s="1155" t="s">
        <v>3556</v>
      </c>
      <c r="K13" s="1155" t="s">
        <v>3632</v>
      </c>
      <c r="L13" s="1155" t="s">
        <v>3633</v>
      </c>
      <c r="M13" s="1155" t="s">
        <v>3558</v>
      </c>
      <c r="N13" s="1155" t="s">
        <v>3634</v>
      </c>
      <c r="O13" s="1155">
        <v>288000</v>
      </c>
      <c r="P13" s="1155">
        <v>58000</v>
      </c>
      <c r="Q13" s="1155" t="s">
        <v>3635</v>
      </c>
      <c r="R13" s="1155">
        <v>331200</v>
      </c>
      <c r="S13" s="1155">
        <v>73438.259999999995</v>
      </c>
      <c r="T13" s="1155">
        <v>4895.88</v>
      </c>
      <c r="U13" s="1155">
        <v>32434</v>
      </c>
      <c r="V13" s="1155" t="s">
        <v>3555</v>
      </c>
      <c r="W13" s="1155">
        <v>15</v>
      </c>
      <c r="X13" s="1155">
        <v>331200</v>
      </c>
      <c r="Y13" s="1155" t="s">
        <v>3579</v>
      </c>
      <c r="Z13" s="1155">
        <v>62000</v>
      </c>
      <c r="AA13" s="1155">
        <v>62000</v>
      </c>
      <c r="AB13" s="1155">
        <v>32434</v>
      </c>
      <c r="AC13" s="1155">
        <v>15</v>
      </c>
      <c r="AD13" s="1155" t="s">
        <v>3562</v>
      </c>
    </row>
    <row r="14" spans="1:30">
      <c r="A14" s="1155" t="s">
        <v>3636</v>
      </c>
      <c r="B14" s="1155" t="s">
        <v>3384</v>
      </c>
      <c r="C14" s="1155" t="s">
        <v>3637</v>
      </c>
      <c r="D14" s="1155">
        <v>32830.720000000001</v>
      </c>
      <c r="E14" s="1155">
        <v>90830.7</v>
      </c>
      <c r="F14" s="1155" t="s">
        <v>3552</v>
      </c>
      <c r="G14" s="1155" t="s">
        <v>3589</v>
      </c>
      <c r="H14" s="1155" t="s">
        <v>3638</v>
      </c>
      <c r="I14" s="1155" t="s">
        <v>3555</v>
      </c>
      <c r="J14" s="1155" t="s">
        <v>3556</v>
      </c>
      <c r="K14" s="1155" t="s">
        <v>3639</v>
      </c>
      <c r="L14" s="1155" t="s">
        <v>3640</v>
      </c>
      <c r="M14" s="1155" t="s">
        <v>3558</v>
      </c>
      <c r="N14" s="1155" t="s">
        <v>3641</v>
      </c>
      <c r="O14" s="1155">
        <v>317000</v>
      </c>
      <c r="P14" s="1155">
        <v>64000</v>
      </c>
      <c r="Q14" s="1155" t="s">
        <v>3642</v>
      </c>
      <c r="R14" s="1155">
        <v>326600</v>
      </c>
      <c r="S14" s="1155">
        <v>99480</v>
      </c>
      <c r="T14" s="1155">
        <v>6632</v>
      </c>
      <c r="U14" s="1155">
        <v>35957</v>
      </c>
      <c r="V14" s="1155" t="s">
        <v>3555</v>
      </c>
      <c r="W14" s="1155">
        <v>3.03</v>
      </c>
      <c r="X14" s="1155">
        <v>364550</v>
      </c>
      <c r="Y14" s="1155" t="s">
        <v>3561</v>
      </c>
      <c r="Z14" s="1155">
        <v>62000</v>
      </c>
      <c r="AA14" s="1155">
        <v>62000</v>
      </c>
      <c r="AB14" s="1155">
        <v>40135</v>
      </c>
      <c r="AC14" s="1155">
        <v>15</v>
      </c>
      <c r="AD14" s="1155" t="s">
        <v>3643</v>
      </c>
    </row>
    <row r="15" spans="1:30">
      <c r="A15" s="1155" t="s">
        <v>3644</v>
      </c>
      <c r="B15" s="1155" t="s">
        <v>3384</v>
      </c>
      <c r="C15" s="1155" t="s">
        <v>3645</v>
      </c>
      <c r="D15" s="1155">
        <v>64820.86</v>
      </c>
      <c r="E15" s="1155">
        <v>96913.38</v>
      </c>
      <c r="F15" s="1155" t="s">
        <v>3573</v>
      </c>
      <c r="G15" s="1155" t="s">
        <v>3582</v>
      </c>
      <c r="H15" s="1155" t="s">
        <v>3646</v>
      </c>
      <c r="I15" s="1155" t="s">
        <v>3555</v>
      </c>
      <c r="J15" s="1155" t="s">
        <v>3556</v>
      </c>
      <c r="K15" s="1155" t="s">
        <v>3647</v>
      </c>
      <c r="L15" s="1155" t="s">
        <v>3648</v>
      </c>
      <c r="M15" s="1155" t="s">
        <v>3558</v>
      </c>
      <c r="N15" s="1155" t="s">
        <v>3649</v>
      </c>
      <c r="O15" s="1155">
        <v>230000</v>
      </c>
      <c r="P15" s="1155">
        <v>46000</v>
      </c>
      <c r="Q15" s="1155" t="s">
        <v>3650</v>
      </c>
      <c r="R15" s="1155">
        <v>230000</v>
      </c>
      <c r="S15" s="1155">
        <v>35482.400000000001</v>
      </c>
      <c r="T15" s="1155">
        <v>2365.4899999999998</v>
      </c>
      <c r="U15" s="1155">
        <v>23733</v>
      </c>
      <c r="V15" s="1155" t="s">
        <v>3555</v>
      </c>
      <c r="W15" s="1155">
        <v>0</v>
      </c>
      <c r="X15" s="1155">
        <v>264500</v>
      </c>
      <c r="Y15" s="1155" t="s">
        <v>3561</v>
      </c>
      <c r="Z15" s="1155">
        <v>54000</v>
      </c>
      <c r="AA15" s="1155">
        <v>54000</v>
      </c>
      <c r="AB15" s="1155">
        <v>27292</v>
      </c>
      <c r="AC15" s="1155">
        <v>15</v>
      </c>
      <c r="AD15" s="1155" t="s">
        <v>3562</v>
      </c>
    </row>
    <row r="16" spans="1:30">
      <c r="A16" s="1155" t="s">
        <v>3651</v>
      </c>
      <c r="B16" s="1155" t="s">
        <v>3384</v>
      </c>
      <c r="C16" s="1155" t="s">
        <v>3652</v>
      </c>
      <c r="D16" s="1155">
        <v>50073.34</v>
      </c>
      <c r="E16" s="1155">
        <v>125183.35</v>
      </c>
      <c r="F16" s="1155" t="s">
        <v>3552</v>
      </c>
      <c r="G16" s="1155" t="s">
        <v>3589</v>
      </c>
      <c r="H16" s="1155" t="s">
        <v>3653</v>
      </c>
      <c r="I16" s="1155" t="s">
        <v>3555</v>
      </c>
      <c r="J16" s="1155" t="s">
        <v>3556</v>
      </c>
      <c r="K16" s="1155" t="s">
        <v>3647</v>
      </c>
      <c r="L16" s="1155" t="s">
        <v>3648</v>
      </c>
      <c r="M16" s="1155" t="s">
        <v>3558</v>
      </c>
      <c r="N16" s="1155" t="s">
        <v>3654</v>
      </c>
      <c r="O16" s="1155">
        <v>384000</v>
      </c>
      <c r="P16" s="1155">
        <v>77000</v>
      </c>
      <c r="Q16" s="1155" t="s">
        <v>3650</v>
      </c>
      <c r="R16" s="1155">
        <v>441600</v>
      </c>
      <c r="S16" s="1155">
        <v>88190.64</v>
      </c>
      <c r="T16" s="1155">
        <v>5879.38</v>
      </c>
      <c r="U16" s="1155">
        <v>35276</v>
      </c>
      <c r="V16" s="1155" t="s">
        <v>3555</v>
      </c>
      <c r="W16" s="1155">
        <v>15</v>
      </c>
      <c r="X16" s="1155">
        <v>441600</v>
      </c>
      <c r="Y16" s="1155" t="s">
        <v>3579</v>
      </c>
      <c r="Z16" s="1155">
        <v>60000</v>
      </c>
      <c r="AA16" s="1155">
        <v>60000</v>
      </c>
      <c r="AB16" s="1155">
        <v>35276</v>
      </c>
      <c r="AC16" s="1155">
        <v>15</v>
      </c>
      <c r="AD16" s="1155" t="s">
        <v>3643</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B1" zoomScale="85" zoomScaleNormal="70" zoomScaleSheetLayoutView="85" workbookViewId="0">
      <selection activeCell="P46" sqref="P4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11</v>
      </c>
    </row>
    <row r="2" spans="1:9" s="192" customFormat="1" ht="18" customHeight="1">
      <c r="A2" s="193" t="s">
        <v>1462</v>
      </c>
      <c r="B2" s="194">
        <f ca="1">IF(D2="——",C52,C52-E2)</f>
        <v>433363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31073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287348</v>
      </c>
      <c r="D5" s="203" t="s">
        <v>1469</v>
      </c>
      <c r="E5" s="204" t="s">
        <v>1470</v>
      </c>
      <c r="F5" s="204" t="s">
        <v>1471</v>
      </c>
      <c r="G5" s="205"/>
    </row>
    <row r="6" spans="1:9" s="206" customFormat="1" ht="13.5" customHeight="1">
      <c r="A6" s="732" t="s">
        <v>1472</v>
      </c>
      <c r="B6" s="207" t="s">
        <v>1473</v>
      </c>
      <c r="C6" s="208">
        <f>'土地比较法-住宅、综合'!F65</f>
        <v>276550</v>
      </c>
      <c r="D6" s="209"/>
      <c r="E6" s="210"/>
      <c r="F6" s="210"/>
      <c r="G6" s="211"/>
    </row>
    <row r="7" spans="1:9" s="206" customFormat="1" ht="13.5" customHeight="1">
      <c r="A7" s="732" t="s">
        <v>1474</v>
      </c>
      <c r="B7" s="207" t="s">
        <v>1475</v>
      </c>
      <c r="C7" s="212">
        <f>ROUND(C6*F7,0)</f>
        <v>8435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2363</v>
      </c>
      <c r="D8" s="214"/>
      <c r="E8" s="212"/>
      <c r="F8" s="213"/>
      <c r="G8" s="1713" t="s">
        <v>3674</v>
      </c>
    </row>
    <row r="9" spans="1:9" s="206" customFormat="1" ht="13.5" customHeight="1">
      <c r="A9" s="733" t="s">
        <v>355</v>
      </c>
      <c r="B9" s="216" t="s">
        <v>1478</v>
      </c>
      <c r="C9" s="217">
        <f ca="1">ROUND(D9*E9/10000,0)</f>
        <v>1706</v>
      </c>
      <c r="D9" s="795">
        <f ca="1">IF(B1="",'数据-汇总表'!E5,IF(INDIRECT("'数据-取费表'!c"&amp;$G$1)="住宅",INDIRECT("'数据-取费表'!k"&amp;$G$1),0))</f>
        <v>106641.76</v>
      </c>
      <c r="E9" s="217">
        <f>'数据-取费表'!B27</f>
        <v>160</v>
      </c>
      <c r="F9" s="213"/>
      <c r="G9" s="1714" t="s">
        <v>3672</v>
      </c>
      <c r="H9" s="3166">
        <f ca="1">C9+C10</f>
        <v>2363</v>
      </c>
      <c r="I9" s="1715" t="s">
        <v>1479</v>
      </c>
    </row>
    <row r="10" spans="1:9" s="206" customFormat="1" ht="13.5" customHeight="1">
      <c r="A10" s="733" t="s">
        <v>356</v>
      </c>
      <c r="B10" s="216" t="s">
        <v>1480</v>
      </c>
      <c r="C10" s="217">
        <f ca="1">ROUND(D10*E10/10000,0)</f>
        <v>657</v>
      </c>
      <c r="D10" s="795">
        <f ca="1">IF(B1="",'数据-汇总表'!E6,IF(INDIRECT("'数据-取费表'!c"&amp;$G$1)="住宅",INDIRECT("'数据-取费表'!s"&amp;$G$1),INDIRECT("'数据-取费表'!k"&amp;$G$1)+INDIRECT("'数据-取费表'!s"&amp;$G$1)))</f>
        <v>32826.210000000006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139467.97</v>
      </c>
      <c r="E19" s="203">
        <f>'数据-取费表'!B31</f>
        <v>200</v>
      </c>
      <c r="F19" s="223"/>
      <c r="G19" s="1713" t="s">
        <v>3673</v>
      </c>
    </row>
    <row r="20" spans="1:7" s="206" customFormat="1" ht="13.5" customHeight="1">
      <c r="A20" s="247" t="s">
        <v>1493</v>
      </c>
      <c r="B20" s="202" t="s">
        <v>1494</v>
      </c>
      <c r="C20" s="224">
        <f ca="1">ROUND((C5+C19)*F20,0)</f>
        <v>5747</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14526</v>
      </c>
      <c r="D22" s="227">
        <f ca="1">C26</f>
        <v>6.9999999999999999E-4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14384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142</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37516</v>
      </c>
      <c r="D27" s="227">
        <f ca="1">C29</f>
        <v>3.8E-3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37516</v>
      </c>
      <c r="D28" s="227"/>
      <c r="E28" s="228"/>
      <c r="F28" s="238"/>
      <c r="G28" s="239"/>
    </row>
    <row r="29" spans="1:7" s="206" customFormat="1" ht="13.5" customHeight="1">
      <c r="A29" s="734" t="s">
        <v>347</v>
      </c>
      <c r="B29" s="240" t="s">
        <v>1517</v>
      </c>
      <c r="C29" s="230">
        <f ca="1">ROUND(C21*F27*'数据-取费表'!B21/'数据-取费表'!B20,4)</f>
        <v>3.8E-3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377984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41799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35704</v>
      </c>
      <c r="D34" s="209"/>
      <c r="E34" s="212"/>
      <c r="F34" s="249">
        <f ca="1">IF('数据-取费表'!B24=0,1,IF(B1="",'数据-取费表'!N16,INDIRECT("'数据-取费表'!n"&amp;$G$1)))</f>
        <v>0.8</v>
      </c>
      <c r="G34" s="211" t="s">
        <v>1526</v>
      </c>
    </row>
    <row r="35" spans="1:7" ht="13.5" customHeight="1">
      <c r="A35" s="734" t="s">
        <v>351</v>
      </c>
      <c r="B35" s="207" t="s">
        <v>1527</v>
      </c>
      <c r="C35" s="212">
        <f ca="1">ROUND(C34*F35,0)</f>
        <v>1785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1365</v>
      </c>
      <c r="D36" s="212"/>
      <c r="E36" s="212"/>
      <c r="F36" s="251">
        <f>'数据-取费表'!B34</f>
        <v>0.05</v>
      </c>
      <c r="G36" s="252" t="s">
        <v>1530</v>
      </c>
    </row>
    <row r="37" spans="1:7" s="250" customFormat="1" ht="13.5" customHeight="1">
      <c r="A37" s="734" t="s">
        <v>353</v>
      </c>
      <c r="B37" s="207" t="s">
        <v>1531</v>
      </c>
      <c r="C37" s="241">
        <f ca="1">ROUND(E37*D37*F34/10000,0)</f>
        <v>2231</v>
      </c>
      <c r="D37" s="209">
        <f ca="1">D19</f>
        <v>139467.97</v>
      </c>
      <c r="E37" s="241">
        <f>'数据-取费表'!B35</f>
        <v>200</v>
      </c>
      <c r="F37" s="251"/>
      <c r="G37" s="253" t="s">
        <v>1532</v>
      </c>
    </row>
    <row r="38" spans="1:7" ht="13.5" customHeight="1">
      <c r="A38" s="734" t="s">
        <v>354</v>
      </c>
      <c r="B38" s="207" t="s">
        <v>1533</v>
      </c>
      <c r="C38" s="212">
        <f ca="1">ROUND(C34*F38,0)</f>
        <v>714</v>
      </c>
      <c r="D38" s="212"/>
      <c r="E38" s="212"/>
      <c r="F38" s="251">
        <f>'数据-取费表'!B36</f>
        <v>0.02</v>
      </c>
      <c r="G38" s="211" t="s">
        <v>1528</v>
      </c>
    </row>
    <row r="39" spans="1:7" s="206" customFormat="1" ht="13.5" customHeight="1">
      <c r="A39" s="247" t="s">
        <v>1534</v>
      </c>
      <c r="B39" s="202" t="s">
        <v>1535</v>
      </c>
      <c r="C39" s="224">
        <f ca="1">ROUND(C33*F20,0)</f>
        <v>836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1054</v>
      </c>
      <c r="D41" s="227">
        <f ca="1">C44</f>
        <v>6.9999999999999999E-4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1033</v>
      </c>
      <c r="D42" s="230"/>
      <c r="E42" s="230"/>
      <c r="F42" s="231"/>
      <c r="G42" s="3404" t="s">
        <v>1544</v>
      </c>
    </row>
    <row r="43" spans="1:7" ht="13.5" customHeight="1">
      <c r="A43" s="734" t="s">
        <v>347</v>
      </c>
      <c r="B43" s="207" t="s">
        <v>1545</v>
      </c>
      <c r="C43" s="230">
        <f ca="1">ROUND(IF('数据-取费表'!B22&lt;=1,C39*F22*'数据-取费表'!B21/2,C39*(POWER((1+F22),'数据-取费表'!B21/2)-1)),0)</f>
        <v>21</v>
      </c>
      <c r="D43" s="230"/>
      <c r="E43" s="230"/>
      <c r="F43" s="231"/>
      <c r="G43" s="3405"/>
    </row>
    <row r="44" spans="1:7" ht="13.5" customHeight="1">
      <c r="A44" s="734" t="s">
        <v>348</v>
      </c>
      <c r="B44" s="207" t="s">
        <v>1546</v>
      </c>
      <c r="C44" s="230">
        <f ca="1">ROUND(IF('数据-取费表'!B22&lt;=1,C40*F22*'数据-取费表'!B21/2,C40*(POWER((1+F22),'数据-取费表'!B21/2)-1)),4)</f>
        <v>6.9999999999999999E-4</v>
      </c>
      <c r="D44" s="230"/>
      <c r="E44" s="230"/>
      <c r="F44" s="231"/>
      <c r="G44" s="3406"/>
    </row>
    <row r="45" spans="1:7" s="206" customFormat="1" ht="13.5" customHeight="1">
      <c r="A45" s="247" t="s">
        <v>1547</v>
      </c>
      <c r="B45" s="236" t="s">
        <v>1513</v>
      </c>
      <c r="C45" s="237">
        <f ca="1">C46</f>
        <v>6822</v>
      </c>
      <c r="D45" s="227">
        <f ca="1">C47</f>
        <v>4.7999999999999996E-3</v>
      </c>
      <c r="E45" s="228" t="s">
        <v>1539</v>
      </c>
      <c r="F45" s="238">
        <f ca="1">F27</f>
        <v>0.16</v>
      </c>
      <c r="G45" s="239" t="s">
        <v>1548</v>
      </c>
    </row>
    <row r="46" spans="1:7" s="206" customFormat="1" ht="13.5" customHeight="1">
      <c r="A46" s="734" t="s">
        <v>346</v>
      </c>
      <c r="B46" s="240" t="s">
        <v>1549</v>
      </c>
      <c r="C46" s="241">
        <f ca="1">ROUND((C33+C39)*F27,0)</f>
        <v>6822</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55379</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55379</v>
      </c>
      <c r="D51" s="224"/>
      <c r="E51" s="224"/>
      <c r="F51" s="256"/>
      <c r="G51" s="226" t="s">
        <v>1560</v>
      </c>
    </row>
    <row r="52" spans="1:7" s="200" customFormat="1" ht="16.5" thickBot="1">
      <c r="A52" s="257" t="s">
        <v>1561</v>
      </c>
      <c r="B52" s="258"/>
      <c r="C52" s="259">
        <f ca="1">C31+C51</f>
        <v>433363</v>
      </c>
      <c r="D52" s="258"/>
      <c r="E52" s="258"/>
      <c r="F52" s="258"/>
      <c r="G52" s="260"/>
    </row>
    <row r="55" spans="1:7" ht="15">
      <c r="B55" s="262" t="s">
        <v>1562</v>
      </c>
      <c r="C55" s="263"/>
    </row>
    <row r="56" spans="1:7">
      <c r="B56" s="265" t="s">
        <v>802</v>
      </c>
      <c r="C56" s="267">
        <f ca="1">1-C57</f>
        <v>0.872</v>
      </c>
    </row>
    <row r="57" spans="1:7">
      <c r="B57" s="265" t="s">
        <v>803</v>
      </c>
      <c r="C57" s="266">
        <f ca="1">ROUND(C51/C52,3)</f>
        <v>0.128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11</v>
      </c>
      <c r="H1" s="998" t="str">
        <f>IF(ISERROR(FIND("住宅",B1)),"非住宅","住宅")</f>
        <v>非住宅</v>
      </c>
    </row>
    <row r="2" spans="1:8" s="192" customFormat="1" ht="18" customHeight="1">
      <c r="A2" s="193" t="s">
        <v>1462</v>
      </c>
      <c r="B2" s="3120">
        <f ca="1">ROUND(IF(D2="——",C52/10000,C52/10000-E2),4)</f>
        <v>76650.175099999993</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23627924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23627924</v>
      </c>
      <c r="D8" s="214"/>
      <c r="E8" s="212"/>
      <c r="F8" s="213"/>
      <c r="G8" s="1713"/>
    </row>
    <row r="9" spans="1:8" s="206" customFormat="1" ht="13.5" customHeight="1">
      <c r="A9" s="733" t="s">
        <v>355</v>
      </c>
      <c r="B9" s="216" t="s">
        <v>1478</v>
      </c>
      <c r="C9" s="217">
        <f ca="1">ROUND(D9*E9,0)</f>
        <v>17062682</v>
      </c>
      <c r="D9" s="795">
        <f ca="1">IF(B1="",'数据-汇总表'!E5,IF(INDIRECT("'数据-取费表'!c"&amp;$G$1)="住宅",INDIRECT("'数据-取费表'!k"&amp;$G$1),0))</f>
        <v>106641.76</v>
      </c>
      <c r="E9" s="217">
        <f>'数据-取费表'!B27</f>
        <v>160</v>
      </c>
      <c r="F9" s="213"/>
      <c r="G9" s="218"/>
    </row>
    <row r="10" spans="1:8" s="206" customFormat="1" ht="13.5" customHeight="1">
      <c r="A10" s="733" t="s">
        <v>356</v>
      </c>
      <c r="B10" s="216" t="s">
        <v>1480</v>
      </c>
      <c r="C10" s="217">
        <f ca="1">ROUND(D10*E10,0)</f>
        <v>6565242</v>
      </c>
      <c r="D10" s="795">
        <f ca="1">IF(B1="",'数据-汇总表'!E6,IF(INDIRECT("'数据-取费表'!c"&amp;$G$1)="住宅",INDIRECT("'数据-取费表'!s"&amp;$G$1),INDIRECT("'数据-取费表'!k"&amp;$G$1)+INDIRECT("'数据-取费表'!s"&amp;$G$1)))</f>
        <v>32826.210000000006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27893594</v>
      </c>
      <c r="D19" s="204">
        <f ca="1">D9+D10</f>
        <v>139467.97</v>
      </c>
      <c r="E19" s="203">
        <f>'数据-取费表'!B31</f>
        <v>200</v>
      </c>
      <c r="F19" s="223"/>
      <c r="G19" s="1713"/>
    </row>
    <row r="20" spans="1:7" s="206" customFormat="1" ht="13.5" customHeight="1">
      <c r="A20" s="247" t="s">
        <v>1574</v>
      </c>
      <c r="B20" s="202" t="s">
        <v>1575</v>
      </c>
      <c r="C20" s="224">
        <f ca="1">ROUND((C5+C19)*F20,0)</f>
        <v>1030430</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3275790</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1487638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1756209</v>
      </c>
      <c r="D24" s="230"/>
      <c r="E24" s="230"/>
      <c r="F24" s="231"/>
      <c r="G24" s="232" t="s">
        <v>1586</v>
      </c>
    </row>
    <row r="25" spans="1:7" s="206" customFormat="1" ht="24">
      <c r="A25" s="734" t="s">
        <v>1476</v>
      </c>
      <c r="B25" s="207" t="s">
        <v>1587</v>
      </c>
      <c r="C25" s="230">
        <f ca="1">ROUND(IF('数据-取费表'!B22&lt;=1,C20*F22*'数据-取费表'!B22/2,C20*(POWER((1+F22),'数据-取费表'!B22/2)-1)),0)</f>
        <v>31943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8408312</v>
      </c>
      <c r="D27" s="227">
        <f ca="1">C29</f>
        <v>4.7999999999999996E-3</v>
      </c>
      <c r="E27" s="228" t="s">
        <v>1514</v>
      </c>
      <c r="F27" s="238">
        <f ca="1">IF(B1="",'数据-取费表'!Q16,INDIRECT("'数据-取费表'!q"&amp;$G$1))</f>
        <v>0.16</v>
      </c>
      <c r="G27" s="239" t="s">
        <v>1515</v>
      </c>
    </row>
    <row r="28" spans="1:7" s="206" customFormat="1" ht="13.5" customHeight="1">
      <c r="A28" s="734" t="s">
        <v>346</v>
      </c>
      <c r="B28" s="240" t="s">
        <v>1516</v>
      </c>
      <c r="C28" s="241">
        <f ca="1">ROUND((C5+C19+C20)*F27,0)</f>
        <v>8408312</v>
      </c>
      <c r="D28" s="227"/>
      <c r="E28" s="228"/>
      <c r="F28" s="238"/>
      <c r="G28" s="239"/>
    </row>
    <row r="29" spans="1:7" s="206" customFormat="1" ht="13.5" customHeight="1">
      <c r="A29" s="734"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70441989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522494605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446297504</v>
      </c>
      <c r="D34" s="209"/>
      <c r="E34" s="212"/>
      <c r="F34" s="249"/>
      <c r="G34" s="211"/>
    </row>
    <row r="35" spans="1:7" ht="13.5" customHeight="1">
      <c r="A35" s="734" t="s">
        <v>351</v>
      </c>
      <c r="B35" s="207" t="s">
        <v>1527</v>
      </c>
      <c r="C35" s="212">
        <f ca="1">ROUND(C34*F35,0)</f>
        <v>22314875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17062682</v>
      </c>
      <c r="D36" s="212"/>
      <c r="E36" s="212"/>
      <c r="F36" s="251">
        <f>'数据-取费表'!B34</f>
        <v>0.05</v>
      </c>
      <c r="G36" s="252" t="s">
        <v>1530</v>
      </c>
    </row>
    <row r="37" spans="1:7" s="250" customFormat="1" ht="13.5" customHeight="1">
      <c r="A37" s="734" t="s">
        <v>353</v>
      </c>
      <c r="B37" s="207" t="s">
        <v>1531</v>
      </c>
      <c r="C37" s="241">
        <f ca="1">ROUND(E37*D37,0)</f>
        <v>27893594</v>
      </c>
      <c r="D37" s="209">
        <f ca="1">D19</f>
        <v>139467.97</v>
      </c>
      <c r="E37" s="241">
        <f>'数据-取费表'!B35</f>
        <v>200</v>
      </c>
      <c r="F37" s="251"/>
      <c r="G37" s="253"/>
    </row>
    <row r="38" spans="1:7" ht="13.5" customHeight="1">
      <c r="A38" s="734" t="s">
        <v>354</v>
      </c>
      <c r="B38" s="207" t="s">
        <v>1533</v>
      </c>
      <c r="C38" s="212">
        <f ca="1">ROUND(C34*F38,0)</f>
        <v>8925950</v>
      </c>
      <c r="D38" s="212"/>
      <c r="E38" s="212"/>
      <c r="F38" s="251">
        <f>'数据-取费表'!B36</f>
        <v>0.02</v>
      </c>
      <c r="G38" s="211" t="s">
        <v>1528</v>
      </c>
    </row>
    <row r="39" spans="1:7" s="206" customFormat="1" ht="13.5" customHeight="1">
      <c r="A39" s="247" t="s">
        <v>1534</v>
      </c>
      <c r="B39" s="202" t="s">
        <v>1535</v>
      </c>
      <c r="C39" s="224">
        <f ca="1">ROUND(C33*F20,0)</f>
        <v>10449892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16521280</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16197333</v>
      </c>
      <c r="D42" s="230"/>
      <c r="E42" s="230"/>
      <c r="F42" s="231"/>
      <c r="G42" s="3404" t="s">
        <v>1591</v>
      </c>
    </row>
    <row r="43" spans="1:7" ht="13.5" customHeight="1">
      <c r="A43" s="734" t="s">
        <v>347</v>
      </c>
      <c r="B43" s="207" t="s">
        <v>1545</v>
      </c>
      <c r="C43" s="230">
        <f ca="1">ROUND(IF('数据-取费表'!B22&lt;=1,C39*F22*'数据-取费表'!B20/2,C39*(POWER((1+F22),'数据-取费表'!B20/2)-1)),0)</f>
        <v>323947</v>
      </c>
      <c r="D43" s="230"/>
      <c r="E43" s="230"/>
      <c r="F43" s="231"/>
      <c r="G43" s="3405"/>
    </row>
    <row r="44" spans="1:7" ht="13.5" customHeight="1">
      <c r="A44" s="734" t="s">
        <v>348</v>
      </c>
      <c r="B44" s="207" t="s">
        <v>1546</v>
      </c>
      <c r="C44" s="230">
        <f ca="1">ROUND(IF('数据-取费表'!B22&lt;=1,C40*F22*'数据-取费表'!B20/2,C40*(POWER((1+F22),'数据-取费表'!B20/2)-1)),4)</f>
        <v>8.9999999999999998E-4</v>
      </c>
      <c r="D44" s="230"/>
      <c r="E44" s="230"/>
      <c r="F44" s="231"/>
      <c r="G44" s="3406"/>
    </row>
    <row r="45" spans="1:7" s="206" customFormat="1" ht="13.5" customHeight="1">
      <c r="A45" s="247" t="s">
        <v>1547</v>
      </c>
      <c r="B45" s="236" t="s">
        <v>1513</v>
      </c>
      <c r="C45" s="237">
        <f ca="1">C46</f>
        <v>85271120</v>
      </c>
      <c r="D45" s="227">
        <f ca="1">C47</f>
        <v>4.7999999999999996E-3</v>
      </c>
      <c r="E45" s="228" t="s">
        <v>1539</v>
      </c>
      <c r="F45" s="238">
        <f ca="1">F27</f>
        <v>0.16</v>
      </c>
      <c r="G45" s="239" t="s">
        <v>1548</v>
      </c>
    </row>
    <row r="46" spans="1:7" s="206" customFormat="1" ht="13.5" customHeight="1">
      <c r="A46" s="734" t="s">
        <v>346</v>
      </c>
      <c r="B46" s="240" t="s">
        <v>1549</v>
      </c>
      <c r="C46" s="241">
        <f ca="1">ROUND((C33+C39)*F27,0)</f>
        <v>85271120</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696059762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696059762</v>
      </c>
      <c r="D51" s="224"/>
      <c r="E51" s="224"/>
      <c r="F51" s="256"/>
      <c r="G51" s="226" t="s">
        <v>1560</v>
      </c>
    </row>
    <row r="52" spans="1:7" s="200" customFormat="1" ht="16.5" thickBot="1">
      <c r="A52" s="257" t="s">
        <v>1561</v>
      </c>
      <c r="B52" s="258"/>
      <c r="C52" s="259">
        <f ca="1">C31+C51</f>
        <v>766501751</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85" zoomScaleNormal="70" zoomScaleSheetLayoutView="85" workbookViewId="0">
      <selection activeCell="N19" sqref="N1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11</v>
      </c>
    </row>
    <row r="2" spans="1:33" ht="18" customHeight="1">
      <c r="A2" s="193" t="s">
        <v>1462</v>
      </c>
      <c r="B2" s="196">
        <f ca="1">C32</f>
        <v>351339</v>
      </c>
      <c r="C2" s="268" t="s">
        <v>1595</v>
      </c>
      <c r="D2" s="268"/>
      <c r="E2" s="2565"/>
      <c r="F2" s="2565"/>
      <c r="G2" s="2565"/>
      <c r="H2" s="2565"/>
      <c r="I2" s="2565"/>
      <c r="J2" s="2565"/>
      <c r="K2" s="2565"/>
    </row>
    <row r="3" spans="1:33" ht="18" customHeight="1" thickBot="1">
      <c r="A3" s="195" t="s">
        <v>1464</v>
      </c>
      <c r="B3" s="196">
        <f ca="1">ROUND(B2*10000/IF(C1="",'数据-汇总表'!E3,INDIRECT("'数据-取费表'!K"&amp;$K$1)),0)</f>
        <v>25191</v>
      </c>
      <c r="C3" s="268" t="s">
        <v>1596</v>
      </c>
      <c r="D3" s="268"/>
      <c r="E3" s="2565"/>
      <c r="F3" s="2565"/>
      <c r="G3" s="2565"/>
      <c r="H3" s="2565"/>
      <c r="I3" s="2565"/>
      <c r="J3" s="2565"/>
      <c r="K3" s="2565"/>
    </row>
    <row r="4" spans="1:33" s="739" customFormat="1" ht="16.5" customHeight="1">
      <c r="A4" s="736" t="s">
        <v>1597</v>
      </c>
      <c r="B4" s="737"/>
      <c r="C4" s="775">
        <f ca="1">SUM(C8:K8)</f>
        <v>414559</v>
      </c>
      <c r="D4" s="737"/>
      <c r="E4" s="737"/>
      <c r="F4" s="737"/>
      <c r="G4" s="737"/>
      <c r="H4" s="737"/>
      <c r="I4" s="737"/>
      <c r="J4" s="737"/>
      <c r="K4" s="738"/>
    </row>
    <row r="5" spans="1:33" s="743" customFormat="1" ht="15">
      <c r="A5" s="740" t="s">
        <v>1598</v>
      </c>
      <c r="B5" s="741" t="s">
        <v>1599</v>
      </c>
      <c r="C5" s="1717" t="s">
        <v>3389</v>
      </c>
      <c r="D5" s="1717" t="s">
        <v>3390</v>
      </c>
      <c r="E5" s="1717" t="s">
        <v>3391</v>
      </c>
      <c r="F5" s="1717" t="s">
        <v>3327</v>
      </c>
      <c r="G5" s="1717" t="s">
        <v>3328</v>
      </c>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典型户型修正!R24</f>
        <v>37960</v>
      </c>
      <c r="D6" s="745">
        <f>典型户型修正!R25</f>
        <v>40238</v>
      </c>
      <c r="E6" s="745">
        <f>典型户型修正!R26</f>
        <v>39099</v>
      </c>
      <c r="F6" s="745">
        <f ca="1">收益法车!B3</f>
        <v>1454</v>
      </c>
      <c r="G6" s="745">
        <f ca="1">收益法!B3</f>
        <v>1549</v>
      </c>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71770.12</v>
      </c>
      <c r="D7" s="269">
        <f>SUMIF('数据-汇总表'!$C19:$C33,假设开发法!D5,'数据-汇总表'!$E19:$E33)</f>
        <v>8062.17</v>
      </c>
      <c r="E7" s="269">
        <f>SUMIF('数据-汇总表'!$C19:$C33,假设开发法!E5,'数据-汇总表'!$E19:$E33)</f>
        <v>26809.469999999998</v>
      </c>
      <c r="F7" s="269">
        <f>SUMIF('数据-汇总表'!$C19:$C33,假设开发法!F5,'数据-汇总表'!$E19:$E33)</f>
        <v>23852.28</v>
      </c>
      <c r="G7" s="269">
        <f>SUMIF('数据-汇总表'!$C19:$C33,假设开发法!G5,'数据-汇总表'!$E19:$E33)</f>
        <v>8973.9299999999985</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f>ROUND(C6*C7/10000,0)</f>
        <v>272439</v>
      </c>
      <c r="D8" s="776">
        <f t="shared" ref="D8:E8" si="0">ROUND(D6*D7/10000,0)</f>
        <v>32441</v>
      </c>
      <c r="E8" s="776">
        <f t="shared" si="0"/>
        <v>104822</v>
      </c>
      <c r="F8" s="777">
        <f ca="1">收益法车!B2</f>
        <v>3467</v>
      </c>
      <c r="G8" s="777">
        <f ca="1">收益法!B2</f>
        <v>1390</v>
      </c>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8926</v>
      </c>
      <c r="D11" s="754"/>
      <c r="E11" s="138"/>
      <c r="F11" s="764">
        <f ca="1">1-IF('数据-取费表'!B24=0,1,IF(C1="",'数据-取费表'!N16,INDIRECT("'数据-取费表'!n"&amp;$K$1)))</f>
        <v>0.19999999999999996</v>
      </c>
      <c r="G11" s="5"/>
      <c r="H11" s="749"/>
      <c r="I11" s="749"/>
      <c r="J11" s="749"/>
      <c r="K11" s="750"/>
    </row>
    <row r="12" spans="1:33" s="755" customFormat="1" ht="13.5" customHeight="1">
      <c r="A12" s="752" t="s">
        <v>636</v>
      </c>
      <c r="B12" s="753" t="s">
        <v>1613</v>
      </c>
      <c r="C12" s="21">
        <f ca="1">ROUND(C11*F12,0)</f>
        <v>446</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341</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558</v>
      </c>
      <c r="D14" s="796">
        <f ca="1">IF(C1="",'数据-汇总表'!E3,INDIRECT("'数据-取费表'!K"&amp;$K$1)+INDIRECT("'数据-取费表'!S"&amp;$K$1))</f>
        <v>139467.97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179</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10450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139467.97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1706</v>
      </c>
      <c r="D19" s="796">
        <f ca="1">IF(C1="",'数据-汇总表'!E5,IF(INDIRECT("'数据-取费表'!c"&amp;$K$1)="住宅",INDIRECT("'数据-取费表'!k"&amp;$K$1),0))</f>
        <v>106641.76</v>
      </c>
      <c r="E19" s="21">
        <f>'数据-取费表'!B27</f>
        <v>160</v>
      </c>
      <c r="F19" s="756"/>
      <c r="G19" s="12"/>
      <c r="H19" s="1107"/>
      <c r="I19" s="761"/>
      <c r="J19" s="761"/>
      <c r="K19" s="762"/>
    </row>
    <row r="20" spans="1:33" s="755" customFormat="1" ht="13.5" customHeight="1">
      <c r="A20" s="752" t="s">
        <v>361</v>
      </c>
      <c r="B20" s="753" t="s">
        <v>1627</v>
      </c>
      <c r="C20" s="21">
        <f ca="1">ROUND(D20*E20/10000,0)</f>
        <v>657</v>
      </c>
      <c r="D20" s="796">
        <f ca="1">IF(C1="",'数据-汇总表'!E6,IF(INDIRECT("'数据-取费表'!c"&amp;$K$1)="住宅",INDIRECT("'数据-取费表'!s"&amp;$K$1),INDIRECT("'数据-取费表'!k"&amp;$K$1)+INDIRECT("'数据-取费表'!s"&amp;$K$1)))</f>
        <v>32826.210000000006</v>
      </c>
      <c r="E20" s="21">
        <f>'数据-取费表'!B28</f>
        <v>200</v>
      </c>
      <c r="F20" s="756"/>
      <c r="G20" s="12"/>
      <c r="H20" s="761"/>
      <c r="I20" s="761"/>
      <c r="J20" s="761"/>
      <c r="K20" s="762"/>
    </row>
    <row r="21" spans="1:33" s="755" customFormat="1" ht="13.5" customHeight="1">
      <c r="A21" s="744" t="s">
        <v>357</v>
      </c>
      <c r="B21" s="765" t="s">
        <v>1628</v>
      </c>
      <c r="C21" s="766">
        <f ca="1">C16+C17+C18</f>
        <v>10450</v>
      </c>
      <c r="D21" s="767"/>
      <c r="E21" s="273"/>
      <c r="F21" s="273"/>
      <c r="G21" s="123" t="s">
        <v>1629</v>
      </c>
      <c r="H21" s="759"/>
      <c r="I21" s="759"/>
      <c r="J21" s="759"/>
      <c r="K21" s="760"/>
    </row>
    <row r="22" spans="1:33" s="755" customFormat="1" ht="13.5" customHeight="1">
      <c r="A22" s="744" t="s">
        <v>1601</v>
      </c>
      <c r="B22" s="765" t="s">
        <v>1630</v>
      </c>
      <c r="C22" s="766">
        <f ca="1">ROUND(C21*F22,0)</f>
        <v>209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2487</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81</v>
      </c>
      <c r="D25" s="272">
        <f ca="1">C26</f>
        <v>1.26E-2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1.26E-2</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81</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2103</v>
      </c>
      <c r="D28" s="272">
        <f ca="1">C29</f>
        <v>3.2899999999999999E-2</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3.2899999999999999E-2</v>
      </c>
      <c r="D29" s="276"/>
      <c r="E29" s="277"/>
      <c r="F29" s="282"/>
      <c r="G29" s="123" t="s">
        <v>1644</v>
      </c>
      <c r="H29" s="759"/>
      <c r="I29" s="759"/>
      <c r="J29" s="759"/>
      <c r="K29" s="760"/>
    </row>
    <row r="30" spans="1:33" s="283" customFormat="1" ht="13.5" customHeight="1">
      <c r="A30" s="752" t="s">
        <v>359</v>
      </c>
      <c r="B30" s="773" t="s">
        <v>1645</v>
      </c>
      <c r="C30" s="284">
        <f ca="1">ROUND((C21+C22+C23)*F28,0)</f>
        <v>2103</v>
      </c>
      <c r="D30" s="276"/>
      <c r="E30" s="277"/>
      <c r="F30" s="282"/>
      <c r="G30" s="123"/>
      <c r="H30" s="759"/>
      <c r="I30" s="759"/>
      <c r="J30" s="759"/>
      <c r="K30" s="760"/>
    </row>
    <row r="31" spans="1:33" s="755" customFormat="1" ht="13.5" customHeight="1" thickBot="1">
      <c r="A31" s="1723" t="s">
        <v>1646</v>
      </c>
      <c r="B31" s="783" t="s">
        <v>1647</v>
      </c>
      <c r="C31" s="784">
        <f ca="1">ROUND(C4*F31/(1+'数据-取费表'!C42),0)</f>
        <v>21715</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351339</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11</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07" t="s">
        <v>694</v>
      </c>
      <c r="C6" s="1011">
        <f ca="1">ROUND(F6*F8*F7*(1-F9),0)</f>
        <v>0</v>
      </c>
      <c r="D6" s="147" t="s">
        <v>2102</v>
      </c>
      <c r="E6" s="294" t="s">
        <v>696</v>
      </c>
      <c r="F6" s="295">
        <f ca="1">INDIRECT("'数据-取费表'!u"&amp;$G$1)</f>
        <v>0</v>
      </c>
      <c r="G6" s="1291"/>
      <c r="H6" s="1006" t="s">
        <v>398</v>
      </c>
      <c r="I6" s="3407" t="s">
        <v>694</v>
      </c>
      <c r="J6" s="293">
        <f ca="1">ROUND(M6*M8*M7*(1-M9),0)</f>
        <v>0</v>
      </c>
      <c r="K6" s="1283" t="s">
        <v>2103</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1"/>
      <c r="H7" s="296"/>
      <c r="I7" s="3408"/>
      <c r="J7" s="298"/>
      <c r="K7" s="299"/>
      <c r="L7" s="294" t="s">
        <v>697</v>
      </c>
      <c r="M7" s="295">
        <f ca="1">F7</f>
        <v>0</v>
      </c>
    </row>
    <row r="8" spans="1:37" ht="18" customHeight="1">
      <c r="A8" s="296"/>
      <c r="B8" s="3408"/>
      <c r="C8" s="298"/>
      <c r="D8" s="299"/>
      <c r="E8" s="294" t="s">
        <v>698</v>
      </c>
      <c r="F8" s="295">
        <f ca="1">INDIRECT("'数据-取费表'!ai"&amp;$G$1)</f>
        <v>0</v>
      </c>
      <c r="G8" s="1291"/>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2112</v>
      </c>
      <c r="E10" s="305" t="s">
        <v>701</v>
      </c>
      <c r="F10" s="1053"/>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3346</v>
      </c>
      <c r="B45" s="1306"/>
      <c r="C45" s="1375" t="e">
        <f ca="1">ROUND((C68-C40)/10000,4)</f>
        <v>#DIV/0!</v>
      </c>
      <c r="D45" s="3128" t="s">
        <v>3347</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0</v>
      </c>
      <c r="K53" s="3410" t="s">
        <v>837</v>
      </c>
      <c r="L53" s="3411"/>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G20" sqref="G20"/>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2429</v>
      </c>
      <c r="B1" s="2581"/>
      <c r="C1" s="2593"/>
      <c r="D1" s="2593"/>
      <c r="E1" s="2582"/>
      <c r="F1" s="2583"/>
      <c r="G1" s="2584"/>
      <c r="J1" s="2587" t="s">
        <v>2308</v>
      </c>
      <c r="K1" s="2588"/>
      <c r="L1" s="2588"/>
      <c r="M1" s="2588"/>
      <c r="N1" s="2588"/>
      <c r="O1" s="2588"/>
      <c r="P1" s="2588"/>
      <c r="Q1" s="2588"/>
      <c r="R1" s="2589"/>
      <c r="S1" s="2590"/>
      <c r="T1" s="2590"/>
      <c r="U1" s="2590"/>
    </row>
    <row r="2" spans="1:22" s="2602" customFormat="1" ht="13.15" customHeight="1">
      <c r="A2" s="1292" t="s">
        <v>2309</v>
      </c>
      <c r="B2" s="2592" t="e">
        <f>IF(D2="——",C40,C40+E2)</f>
        <v>#DIV/0!</v>
      </c>
      <c r="C2" s="2593" t="s">
        <v>2310</v>
      </c>
      <c r="D2" s="3136" t="s">
        <v>3353</v>
      </c>
      <c r="E2" s="3137"/>
      <c r="F2" s="2595"/>
      <c r="G2" s="2596"/>
      <c r="H2" s="2597"/>
      <c r="I2" s="2598"/>
      <c r="J2" s="3418" t="s">
        <v>2311</v>
      </c>
      <c r="K2" s="3419"/>
      <c r="L2" s="2599" t="s">
        <v>2312</v>
      </c>
      <c r="M2" s="2599" t="s">
        <v>2313</v>
      </c>
      <c r="N2" s="2599" t="s">
        <v>2314</v>
      </c>
      <c r="O2" s="2599" t="s">
        <v>2315</v>
      </c>
      <c r="P2" s="2599" t="s">
        <v>2316</v>
      </c>
      <c r="Q2" s="2600" t="s">
        <v>2317</v>
      </c>
      <c r="R2" s="2601" t="s">
        <v>2318</v>
      </c>
      <c r="S2" s="2590"/>
      <c r="T2" s="2590"/>
      <c r="U2" s="2590"/>
      <c r="V2" s="2598"/>
    </row>
    <row r="3" spans="1:22" s="2602" customFormat="1" ht="13.15" customHeight="1">
      <c r="A3" s="2603" t="s">
        <v>2319</v>
      </c>
      <c r="B3" s="2604" t="e">
        <f>ROUND(B2*10000/B4,0)</f>
        <v>#DIV/0!</v>
      </c>
      <c r="C3" s="2593" t="s">
        <v>2320</v>
      </c>
      <c r="D3" s="2593"/>
      <c r="E3" s="2594"/>
      <c r="F3" s="2595"/>
      <c r="G3" s="2596"/>
      <c r="H3" s="2597"/>
      <c r="I3" s="2598"/>
      <c r="J3" s="3420" t="s">
        <v>2321</v>
      </c>
      <c r="K3" s="3421"/>
      <c r="L3" s="2605"/>
      <c r="M3" s="2605"/>
      <c r="N3" s="2605"/>
      <c r="O3" s="2605"/>
      <c r="P3" s="2605"/>
      <c r="Q3" s="2606"/>
      <c r="R3" s="2607">
        <f>SUM(L3:Q3)</f>
        <v>0</v>
      </c>
      <c r="S3" s="2590"/>
      <c r="T3" s="2590"/>
      <c r="U3" s="2590"/>
      <c r="V3" s="2598"/>
    </row>
    <row r="4" spans="1:22" s="2602" customFormat="1" ht="13.15" customHeight="1">
      <c r="A4" s="2608" t="s">
        <v>2322</v>
      </c>
      <c r="B4" s="2609"/>
      <c r="C4" s="2593"/>
      <c r="D4" s="2593"/>
      <c r="E4" s="2594"/>
      <c r="F4" s="2595"/>
      <c r="G4" s="2596"/>
      <c r="H4" s="2597"/>
      <c r="I4" s="2598"/>
      <c r="J4" s="3420" t="s">
        <v>2323</v>
      </c>
      <c r="K4" s="3421"/>
      <c r="L4" s="2610"/>
      <c r="M4" s="2610"/>
      <c r="N4" s="2610"/>
      <c r="O4" s="2610"/>
      <c r="P4" s="2610"/>
      <c r="Q4" s="2611"/>
      <c r="R4" s="2612">
        <f>SUM(L4:Q4)</f>
        <v>0</v>
      </c>
      <c r="S4" s="2590"/>
      <c r="T4" s="2590"/>
      <c r="U4" s="2590"/>
      <c r="V4" s="2598"/>
    </row>
    <row r="5" spans="1:22" s="2602" customFormat="1" ht="13.15" customHeight="1" thickBot="1">
      <c r="A5" s="2613" t="s">
        <v>2324</v>
      </c>
      <c r="B5" s="2614"/>
      <c r="C5" s="2593"/>
      <c r="D5" s="2615"/>
      <c r="E5" s="2595"/>
      <c r="F5" s="2595"/>
      <c r="G5" s="2596"/>
      <c r="H5" s="2597"/>
      <c r="I5" s="2598"/>
      <c r="J5" s="2616" t="s">
        <v>2325</v>
      </c>
      <c r="K5" s="2617"/>
      <c r="L5" s="2617"/>
      <c r="M5" s="2618"/>
      <c r="N5" s="2618"/>
      <c r="O5" s="2618"/>
      <c r="P5" s="2618"/>
      <c r="Q5" s="2618"/>
      <c r="R5" s="2601">
        <f>SUM(R14,R19,R24,R25,R27,R28)</f>
        <v>0</v>
      </c>
      <c r="S5" s="2590"/>
      <c r="T5" s="2590" t="s">
        <v>2326</v>
      </c>
      <c r="U5" s="2590" t="e">
        <f>ROUND(R5*10000/365/R3,1)</f>
        <v>#DIV/0!</v>
      </c>
      <c r="V5" s="2598"/>
    </row>
    <row r="6" spans="1:22" s="2602" customFormat="1" ht="13.15" customHeight="1" thickBot="1">
      <c r="A6" s="3426" t="s">
        <v>2327</v>
      </c>
      <c r="B6" s="3427"/>
      <c r="C6" s="3428"/>
      <c r="D6" s="2619"/>
      <c r="E6" s="2620"/>
      <c r="F6" s="2621"/>
      <c r="G6" s="2622"/>
      <c r="H6" s="2597"/>
      <c r="I6" s="2598"/>
      <c r="J6" s="3412">
        <v>1</v>
      </c>
      <c r="K6" s="3413" t="s">
        <v>2328</v>
      </c>
      <c r="L6" s="2623" t="s">
        <v>2329</v>
      </c>
      <c r="M6" s="2624" t="s">
        <v>2330</v>
      </c>
      <c r="N6" s="2624" t="s">
        <v>2331</v>
      </c>
      <c r="O6" s="2624" t="s">
        <v>2332</v>
      </c>
      <c r="P6" s="2624" t="s">
        <v>2333</v>
      </c>
      <c r="Q6" s="2624" t="s">
        <v>2334</v>
      </c>
      <c r="R6" s="2607" t="s">
        <v>2335</v>
      </c>
      <c r="S6" s="2590"/>
      <c r="T6" s="2590" t="s">
        <v>2336</v>
      </c>
      <c r="U6" s="2590"/>
      <c r="V6" s="2598"/>
    </row>
    <row r="7" spans="1:22" s="2602" customFormat="1" ht="13.15" customHeight="1">
      <c r="A7" s="2625" t="s">
        <v>2337</v>
      </c>
      <c r="B7" s="2626"/>
      <c r="C7" s="2627"/>
      <c r="D7" s="2628">
        <f>SUM(D9,D10,D11,D17,0)</f>
        <v>0</v>
      </c>
      <c r="E7" s="2629" t="e">
        <f>E9+E10+E11+E17</f>
        <v>#DIV/0!</v>
      </c>
      <c r="F7" s="2630"/>
      <c r="G7" s="2631"/>
      <c r="H7" s="2597"/>
      <c r="I7" s="2598"/>
      <c r="J7" s="3412"/>
      <c r="K7" s="3414"/>
      <c r="L7" s="2632" t="s">
        <v>2338</v>
      </c>
      <c r="M7" s="2633"/>
      <c r="N7" s="2609"/>
      <c r="O7" s="2634"/>
      <c r="P7" s="2634"/>
      <c r="Q7" s="2635">
        <v>365</v>
      </c>
      <c r="R7" s="2636">
        <f>ROUND(M7*N7*O7*P7*Q7/10000,0)</f>
        <v>0</v>
      </c>
      <c r="S7" s="2590"/>
      <c r="T7" s="2590" t="s">
        <v>2339</v>
      </c>
      <c r="U7" s="2590"/>
      <c r="V7" s="2598"/>
    </row>
    <row r="8" spans="1:22" s="2602" customFormat="1" ht="13.15" customHeight="1">
      <c r="A8" s="2637" t="s">
        <v>2340</v>
      </c>
      <c r="B8" s="3429" t="s">
        <v>2341</v>
      </c>
      <c r="C8" s="3430"/>
      <c r="D8" s="2638" t="s">
        <v>2342</v>
      </c>
      <c r="E8" s="2639" t="s">
        <v>2343</v>
      </c>
      <c r="F8" s="2640" t="s">
        <v>2344</v>
      </c>
      <c r="G8" s="2641"/>
      <c r="H8" s="2597"/>
      <c r="I8" s="2598"/>
      <c r="J8" s="3412"/>
      <c r="K8" s="3414"/>
      <c r="L8" s="2632" t="s">
        <v>2345</v>
      </c>
      <c r="M8" s="2633"/>
      <c r="N8" s="2609"/>
      <c r="O8" s="2634"/>
      <c r="P8" s="2634"/>
      <c r="Q8" s="2635">
        <v>365</v>
      </c>
      <c r="R8" s="2636">
        <f t="shared" ref="R8:R13" si="0">ROUND(M8*N8*O8*P8*Q8/10000,0)</f>
        <v>0</v>
      </c>
      <c r="S8" s="2590"/>
      <c r="T8" s="2590" t="s">
        <v>2346</v>
      </c>
      <c r="U8" s="2590"/>
      <c r="V8" s="2598"/>
    </row>
    <row r="9" spans="1:22" s="2602" customFormat="1" ht="13.15" customHeight="1">
      <c r="A9" s="2637">
        <v>1</v>
      </c>
      <c r="B9" s="3429" t="s">
        <v>2347</v>
      </c>
      <c r="C9" s="3430"/>
      <c r="D9" s="2638">
        <f>ROUND(D6*E9,0)</f>
        <v>0</v>
      </c>
      <c r="E9" s="2642"/>
      <c r="F9" s="2643" t="s">
        <v>2348</v>
      </c>
      <c r="G9" s="2622"/>
      <c r="H9" s="2597"/>
      <c r="I9" s="2598"/>
      <c r="J9" s="3412"/>
      <c r="K9" s="3414"/>
      <c r="L9" s="2632" t="s">
        <v>2349</v>
      </c>
      <c r="M9" s="2633"/>
      <c r="N9" s="2609"/>
      <c r="O9" s="2634"/>
      <c r="P9" s="2634"/>
      <c r="Q9" s="2635">
        <v>365</v>
      </c>
      <c r="R9" s="2636">
        <f t="shared" si="0"/>
        <v>0</v>
      </c>
      <c r="S9" s="2590"/>
      <c r="T9" s="2590"/>
      <c r="U9" s="2590"/>
      <c r="V9" s="2598"/>
    </row>
    <row r="10" spans="1:22" s="2602" customFormat="1" ht="13.15" customHeight="1">
      <c r="A10" s="2637">
        <v>2</v>
      </c>
      <c r="B10" s="3429" t="s">
        <v>2350</v>
      </c>
      <c r="C10" s="3430"/>
      <c r="D10" s="2638">
        <f>ROUND(D6*E10,0)</f>
        <v>0</v>
      </c>
      <c r="E10" s="2642"/>
      <c r="F10" s="2643" t="s">
        <v>2351</v>
      </c>
      <c r="G10" s="2622"/>
      <c r="H10" s="2597"/>
      <c r="I10" s="2598"/>
      <c r="J10" s="3412"/>
      <c r="K10" s="3414"/>
      <c r="L10" s="2632" t="s">
        <v>2352</v>
      </c>
      <c r="M10" s="2633"/>
      <c r="N10" s="2609"/>
      <c r="O10" s="2634"/>
      <c r="P10" s="2634"/>
      <c r="Q10" s="2635">
        <v>365</v>
      </c>
      <c r="R10" s="2636">
        <f t="shared" si="0"/>
        <v>0</v>
      </c>
      <c r="S10" s="2590"/>
      <c r="T10" s="2590"/>
      <c r="U10" s="2590"/>
      <c r="V10" s="2598"/>
    </row>
    <row r="11" spans="1:22" s="2602" customFormat="1" ht="13.15" customHeight="1">
      <c r="A11" s="2637">
        <v>3</v>
      </c>
      <c r="B11" s="3429" t="s">
        <v>2353</v>
      </c>
      <c r="C11" s="3430"/>
      <c r="D11" s="2638">
        <f>D12+D14+D15+D16</f>
        <v>0</v>
      </c>
      <c r="E11" s="2644" t="e">
        <f>D11/D6</f>
        <v>#DIV/0!</v>
      </c>
      <c r="F11" s="2640"/>
      <c r="G11" s="2641"/>
      <c r="H11" s="2597"/>
      <c r="I11" s="2598"/>
      <c r="J11" s="3412"/>
      <c r="K11" s="3414"/>
      <c r="L11" s="2632" t="s">
        <v>2354</v>
      </c>
      <c r="M11" s="2633"/>
      <c r="N11" s="2609"/>
      <c r="O11" s="2634"/>
      <c r="P11" s="2634"/>
      <c r="Q11" s="2635">
        <v>365</v>
      </c>
      <c r="R11" s="2636">
        <f t="shared" si="0"/>
        <v>0</v>
      </c>
      <c r="S11" s="2590"/>
      <c r="T11" s="2590"/>
      <c r="U11" s="2590"/>
      <c r="V11" s="2598"/>
    </row>
    <row r="12" spans="1:22" s="2602" customFormat="1" ht="13.15" customHeight="1">
      <c r="A12" s="2645" t="s">
        <v>2355</v>
      </c>
      <c r="B12" s="3422" t="s">
        <v>2356</v>
      </c>
      <c r="C12" s="3423"/>
      <c r="D12" s="2646">
        <f>ROUND(D13*1.2%*(1-30%),0)</f>
        <v>0</v>
      </c>
      <c r="E12" s="2647">
        <v>1.2E-2</v>
      </c>
      <c r="F12" s="2640" t="s">
        <v>2357</v>
      </c>
      <c r="G12" s="2641"/>
      <c r="H12" s="2597"/>
      <c r="I12" s="2598"/>
      <c r="J12" s="3412"/>
      <c r="K12" s="3414"/>
      <c r="L12" s="2632" t="s">
        <v>2358</v>
      </c>
      <c r="M12" s="2633"/>
      <c r="N12" s="2609"/>
      <c r="O12" s="2634"/>
      <c r="P12" s="2634"/>
      <c r="Q12" s="2635">
        <v>365</v>
      </c>
      <c r="R12" s="2636">
        <f t="shared" si="0"/>
        <v>0</v>
      </c>
      <c r="S12" s="2590"/>
      <c r="T12" s="2590"/>
      <c r="U12" s="2590"/>
      <c r="V12" s="2598"/>
    </row>
    <row r="13" spans="1:22" s="2602" customFormat="1" ht="13.15" customHeight="1">
      <c r="A13" s="2645"/>
      <c r="B13" s="2648"/>
      <c r="C13" s="2649" t="s">
        <v>2359</v>
      </c>
      <c r="D13" s="2650"/>
      <c r="E13" s="2651"/>
      <c r="F13" s="2640"/>
      <c r="G13" s="2641"/>
      <c r="H13" s="2597"/>
      <c r="I13" s="2598"/>
      <c r="J13" s="3412"/>
      <c r="K13" s="3414"/>
      <c r="L13" s="2632" t="s">
        <v>2360</v>
      </c>
      <c r="M13" s="2633"/>
      <c r="N13" s="2609"/>
      <c r="O13" s="2634"/>
      <c r="P13" s="2634"/>
      <c r="Q13" s="2635">
        <v>365</v>
      </c>
      <c r="R13" s="2636">
        <f t="shared" si="0"/>
        <v>0</v>
      </c>
      <c r="S13" s="2590"/>
      <c r="T13" s="2590"/>
      <c r="U13" s="2590"/>
      <c r="V13" s="2598"/>
    </row>
    <row r="14" spans="1:22" s="2602" customFormat="1" ht="13.15" customHeight="1">
      <c r="A14" s="2645" t="s">
        <v>2361</v>
      </c>
      <c r="B14" s="3422" t="s">
        <v>2362</v>
      </c>
      <c r="C14" s="3423"/>
      <c r="D14" s="2646">
        <f>ROUND(E14*B5/10000,0)</f>
        <v>0</v>
      </c>
      <c r="E14" s="2635"/>
      <c r="F14" s="2640" t="s">
        <v>2363</v>
      </c>
      <c r="G14" s="2641"/>
      <c r="H14" s="2597"/>
      <c r="I14" s="2598"/>
      <c r="J14" s="3412"/>
      <c r="K14" s="3415"/>
      <c r="L14" s="2652" t="s">
        <v>2364</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2365</v>
      </c>
      <c r="B15" s="3422" t="s">
        <v>2366</v>
      </c>
      <c r="C15" s="3423"/>
      <c r="D15" s="2646">
        <f>ROUND(D6*E15,0)</f>
        <v>0</v>
      </c>
      <c r="E15" s="2647">
        <v>5.5E-2</v>
      </c>
      <c r="F15" s="2640" t="s">
        <v>2367</v>
      </c>
      <c r="G15" s="2622"/>
      <c r="H15" s="2597"/>
      <c r="I15" s="2598"/>
      <c r="J15" s="3412">
        <v>2</v>
      </c>
      <c r="K15" s="3413" t="s">
        <v>2368</v>
      </c>
      <c r="L15" s="2632" t="s">
        <v>2369</v>
      </c>
      <c r="M15" s="2633" t="s">
        <v>2370</v>
      </c>
      <c r="N15" s="2633" t="s">
        <v>2371</v>
      </c>
      <c r="O15" s="2634" t="s">
        <v>2372</v>
      </c>
      <c r="P15" s="2634" t="s">
        <v>2334</v>
      </c>
      <c r="Q15" s="2609" t="s">
        <v>2373</v>
      </c>
      <c r="R15" s="2656" t="s">
        <v>2335</v>
      </c>
      <c r="S15" s="2590"/>
      <c r="T15" s="2590"/>
      <c r="U15" s="2590"/>
      <c r="V15" s="2598"/>
    </row>
    <row r="16" spans="1:22" s="2602" customFormat="1" ht="13.15" customHeight="1">
      <c r="A16" s="2645" t="s">
        <v>2374</v>
      </c>
      <c r="B16" s="3422" t="s">
        <v>2375</v>
      </c>
      <c r="C16" s="3423"/>
      <c r="D16" s="2657">
        <f>D6*E16</f>
        <v>0</v>
      </c>
      <c r="E16" s="2658"/>
      <c r="F16" s="2643" t="s">
        <v>2376</v>
      </c>
      <c r="G16" s="2622"/>
      <c r="H16" s="2597"/>
      <c r="I16" s="2598"/>
      <c r="J16" s="3412"/>
      <c r="K16" s="3414"/>
      <c r="L16" s="2632" t="s">
        <v>2377</v>
      </c>
      <c r="M16" s="2633"/>
      <c r="N16" s="2633"/>
      <c r="O16" s="2634"/>
      <c r="P16" s="2635">
        <v>365</v>
      </c>
      <c r="Q16" s="2609"/>
      <c r="R16" s="2656">
        <f>ROUND(M16*N16*O16*P16/10000,0)</f>
        <v>0</v>
      </c>
      <c r="S16" s="2590"/>
      <c r="T16" s="2590"/>
      <c r="U16" s="2590"/>
      <c r="V16" s="2598"/>
    </row>
    <row r="17" spans="1:22" s="2602" customFormat="1" ht="13.15" customHeight="1" thickBot="1">
      <c r="A17" s="2659">
        <v>4</v>
      </c>
      <c r="B17" s="3424" t="s">
        <v>2378</v>
      </c>
      <c r="C17" s="3425"/>
      <c r="D17" s="2660">
        <f>ROUND(D6*E17,0)</f>
        <v>0</v>
      </c>
      <c r="E17" s="2661"/>
      <c r="F17" s="2662" t="s">
        <v>2379</v>
      </c>
      <c r="G17" s="2622"/>
      <c r="H17" s="2597"/>
      <c r="I17" s="2598"/>
      <c r="J17" s="3412"/>
      <c r="K17" s="3414"/>
      <c r="L17" s="2632" t="s">
        <v>2380</v>
      </c>
      <c r="M17" s="2633"/>
      <c r="N17" s="2633"/>
      <c r="O17" s="2634"/>
      <c r="P17" s="2635">
        <v>365</v>
      </c>
      <c r="Q17" s="2609"/>
      <c r="R17" s="2656">
        <f>ROUND(M17*N17*O17*P17/10000,0)</f>
        <v>0</v>
      </c>
      <c r="S17" s="2590"/>
      <c r="T17" s="2590"/>
      <c r="U17" s="2590"/>
      <c r="V17" s="2598"/>
    </row>
    <row r="18" spans="1:22" s="2602" customFormat="1" ht="13.15" customHeight="1" thickBot="1">
      <c r="A18" s="2625" t="s">
        <v>2381</v>
      </c>
      <c r="B18" s="2626"/>
      <c r="C18" s="2626"/>
      <c r="D18" s="2663">
        <f>ROUND(D6*E18,0)</f>
        <v>0</v>
      </c>
      <c r="E18" s="2664"/>
      <c r="F18" s="2665" t="s">
        <v>2382</v>
      </c>
      <c r="G18" s="2622"/>
      <c r="H18" s="2597"/>
      <c r="I18" s="2598"/>
      <c r="J18" s="3412"/>
      <c r="K18" s="3414"/>
      <c r="L18" s="2632" t="s">
        <v>2383</v>
      </c>
      <c r="M18" s="2633"/>
      <c r="N18" s="2633"/>
      <c r="O18" s="2634"/>
      <c r="P18" s="2635">
        <v>365</v>
      </c>
      <c r="Q18" s="2609"/>
      <c r="R18" s="2656">
        <f>ROUND(M18*N18*O18*P18/10000,0)</f>
        <v>0</v>
      </c>
      <c r="S18" s="2590"/>
      <c r="T18" s="2590"/>
      <c r="U18" s="2590"/>
      <c r="V18" s="2598"/>
    </row>
    <row r="19" spans="1:22" s="2602" customFormat="1" ht="13.15" customHeight="1" thickBot="1">
      <c r="A19" s="2666" t="s">
        <v>2384</v>
      </c>
      <c r="B19" s="2620"/>
      <c r="C19" s="2620"/>
      <c r="D19" s="2620"/>
      <c r="E19" s="2620"/>
      <c r="F19" s="2621"/>
      <c r="G19" s="2641"/>
      <c r="H19" s="2597"/>
      <c r="I19" s="2598"/>
      <c r="J19" s="3412"/>
      <c r="K19" s="3415"/>
      <c r="L19" s="2652" t="s">
        <v>2364</v>
      </c>
      <c r="M19" s="2653"/>
      <c r="N19" s="2653">
        <f>SUM(N16:N18)</f>
        <v>0</v>
      </c>
      <c r="O19" s="2654"/>
      <c r="P19" s="2667" t="s">
        <v>2428</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2">
        <v>3</v>
      </c>
      <c r="K20" s="3413" t="s">
        <v>2385</v>
      </c>
      <c r="L20" s="2632" t="s">
        <v>2386</v>
      </c>
      <c r="M20" s="2633" t="s">
        <v>2387</v>
      </c>
      <c r="N20" s="2670" t="s">
        <v>2388</v>
      </c>
      <c r="O20" s="2634" t="s">
        <v>2389</v>
      </c>
      <c r="P20" s="2635" t="s">
        <v>2390</v>
      </c>
      <c r="Q20" s="2609" t="s">
        <v>2391</v>
      </c>
      <c r="R20" s="2656" t="s">
        <v>2392</v>
      </c>
      <c r="S20" s="2590"/>
      <c r="T20" s="2590"/>
      <c r="U20" s="2590"/>
      <c r="V20" s="2598"/>
    </row>
    <row r="21" spans="1:22" s="2602" customFormat="1" ht="13.15" customHeight="1">
      <c r="A21" s="2625"/>
      <c r="B21" s="2626"/>
      <c r="C21" s="2671" t="s">
        <v>2393</v>
      </c>
      <c r="D21" s="2672" t="s">
        <v>2394</v>
      </c>
      <c r="E21" s="2673" t="s">
        <v>2395</v>
      </c>
      <c r="F21" s="2669"/>
      <c r="G21" s="2641"/>
      <c r="H21" s="2597"/>
      <c r="I21" s="2598"/>
      <c r="J21" s="3412"/>
      <c r="K21" s="3414"/>
      <c r="L21" s="2632" t="s">
        <v>2396</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2397</v>
      </c>
      <c r="D22" s="2676" t="s">
        <v>2398</v>
      </c>
      <c r="E22" s="2677" t="s">
        <v>2399</v>
      </c>
      <c r="F22" s="2669"/>
      <c r="G22" s="2590"/>
      <c r="H22" s="2597"/>
      <c r="I22" s="2598"/>
      <c r="J22" s="3412"/>
      <c r="K22" s="3414"/>
      <c r="L22" s="2632" t="s">
        <v>2400</v>
      </c>
      <c r="M22" s="2633"/>
      <c r="N22" s="2633"/>
      <c r="O22" s="2634"/>
      <c r="P22" s="2635">
        <v>365</v>
      </c>
      <c r="Q22" s="2609"/>
      <c r="R22" s="2674">
        <f>ROUND(M22*N22*O22*P22/10000,0)</f>
        <v>0</v>
      </c>
      <c r="S22" s="2590"/>
      <c r="T22" s="2590"/>
      <c r="U22" s="2590"/>
      <c r="V22" s="2598"/>
    </row>
    <row r="23" spans="1:22" s="2602" customFormat="1" ht="13.15" customHeight="1">
      <c r="A23" s="2678">
        <v>1</v>
      </c>
      <c r="B23" s="2679" t="s">
        <v>2401</v>
      </c>
      <c r="C23" s="2680">
        <f>D6</f>
        <v>0</v>
      </c>
      <c r="D23" s="2681">
        <f>C23*(1+D24)</f>
        <v>0</v>
      </c>
      <c r="E23" s="2682">
        <f>D23*(1+E24)</f>
        <v>0</v>
      </c>
      <c r="F23" s="2683"/>
      <c r="G23" s="2684"/>
      <c r="H23" s="2597"/>
      <c r="I23" s="2598"/>
      <c r="J23" s="3412"/>
      <c r="K23" s="3414"/>
      <c r="L23" s="2632" t="s">
        <v>2402</v>
      </c>
      <c r="M23" s="2633"/>
      <c r="N23" s="2633"/>
      <c r="O23" s="2634"/>
      <c r="P23" s="2635">
        <v>365</v>
      </c>
      <c r="Q23" s="2609"/>
      <c r="R23" s="2674">
        <f>ROUND(M23*N23*O23*P23/10000,0)</f>
        <v>0</v>
      </c>
      <c r="S23" s="2590"/>
      <c r="T23" s="2590"/>
      <c r="U23" s="2590"/>
      <c r="V23" s="2598"/>
    </row>
    <row r="24" spans="1:22" s="2602" customFormat="1" ht="13.15" customHeight="1">
      <c r="A24" s="2685"/>
      <c r="B24" s="2686" t="s">
        <v>2403</v>
      </c>
      <c r="C24" s="2687"/>
      <c r="D24" s="2688"/>
      <c r="E24" s="2689"/>
      <c r="F24" s="2690"/>
      <c r="G24" s="2684"/>
      <c r="H24" s="2597"/>
      <c r="I24" s="2598"/>
      <c r="J24" s="3412"/>
      <c r="K24" s="3415"/>
      <c r="L24" s="2652" t="s">
        <v>2364</v>
      </c>
      <c r="M24" s="2653">
        <f>SUM(M21:M23)</f>
        <v>0</v>
      </c>
      <c r="N24" s="2653"/>
      <c r="O24" s="2654"/>
      <c r="P24" s="2667" t="s">
        <v>2428</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2404</v>
      </c>
      <c r="L25" s="2693"/>
      <c r="M25" s="2693"/>
      <c r="N25" s="2693"/>
      <c r="O25" s="2693"/>
      <c r="P25" s="2694"/>
      <c r="Q25" s="2695">
        <v>0</v>
      </c>
      <c r="R25" s="2668">
        <f>ROUND(R14*Q25,0)</f>
        <v>0</v>
      </c>
      <c r="S25" s="2590"/>
      <c r="T25" s="2590"/>
      <c r="U25" s="2590"/>
      <c r="V25" s="2696"/>
    </row>
    <row r="26" spans="1:22" s="2697" customFormat="1" ht="13.15" customHeight="1">
      <c r="A26" s="2678">
        <v>2</v>
      </c>
      <c r="B26" s="2679" t="s">
        <v>2405</v>
      </c>
      <c r="C26" s="2680">
        <f>D7</f>
        <v>0</v>
      </c>
      <c r="D26" s="2681">
        <f>D23*D27</f>
        <v>0</v>
      </c>
      <c r="E26" s="2682">
        <f>E23*E27</f>
        <v>0</v>
      </c>
      <c r="F26" s="2683"/>
      <c r="G26" s="2684"/>
      <c r="H26" s="2597"/>
      <c r="I26" s="2598"/>
      <c r="J26" s="3416">
        <v>5</v>
      </c>
      <c r="K26" s="2698" t="s">
        <v>2406</v>
      </c>
      <c r="L26" s="2699"/>
      <c r="M26" s="2700"/>
      <c r="N26" s="2701" t="s">
        <v>2407</v>
      </c>
      <c r="O26" s="2701" t="s">
        <v>2408</v>
      </c>
      <c r="P26" s="2702" t="s">
        <v>2409</v>
      </c>
      <c r="Q26" s="2702" t="s">
        <v>2410</v>
      </c>
      <c r="R26" s="2607" t="s">
        <v>2335</v>
      </c>
      <c r="S26" s="2641"/>
      <c r="T26" s="2641"/>
      <c r="U26" s="2641"/>
      <c r="V26" s="2696"/>
    </row>
    <row r="27" spans="1:22" s="2602" customFormat="1" ht="13.15" customHeight="1">
      <c r="A27" s="2685"/>
      <c r="B27" s="2686" t="s">
        <v>2411</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2412</v>
      </c>
      <c r="F28" s="2690"/>
      <c r="G28" s="2590"/>
      <c r="H28" s="2704"/>
      <c r="I28" s="2696"/>
      <c r="J28" s="2710">
        <v>6</v>
      </c>
      <c r="K28" s="2711" t="s">
        <v>2413</v>
      </c>
      <c r="L28" s="2712" t="s">
        <v>2414</v>
      </c>
      <c r="M28" s="2713"/>
      <c r="N28" s="2712" t="s">
        <v>2415</v>
      </c>
      <c r="O28" s="2714"/>
      <c r="P28" s="2712" t="s">
        <v>2416</v>
      </c>
      <c r="Q28" s="2715">
        <v>1.4999999999999999E-2</v>
      </c>
      <c r="R28" s="2716"/>
      <c r="S28" s="2590"/>
      <c r="T28" s="2590"/>
      <c r="U28" s="2590"/>
      <c r="V28" s="2696"/>
    </row>
    <row r="29" spans="1:22" s="2697" customFormat="1" ht="13.15" customHeight="1">
      <c r="A29" s="2678">
        <v>3</v>
      </c>
      <c r="B29" s="2679" t="s">
        <v>2417</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2411</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2418</v>
      </c>
      <c r="K31" s="2588"/>
      <c r="L31" s="2588"/>
      <c r="M31" s="2588"/>
      <c r="N31" s="2588"/>
      <c r="O31" s="2588"/>
      <c r="P31" s="2588"/>
      <c r="Q31" s="2588"/>
      <c r="R31" s="2589"/>
      <c r="S31" s="2590"/>
      <c r="T31" s="2590"/>
      <c r="U31" s="2590"/>
      <c r="V31" s="2696"/>
    </row>
    <row r="32" spans="1:22" s="2697" customFormat="1" ht="13.15" customHeight="1">
      <c r="A32" s="2678">
        <v>4</v>
      </c>
      <c r="B32" s="2679" t="s">
        <v>2419</v>
      </c>
      <c r="C32" s="2680">
        <f>C23-C26-C29</f>
        <v>0</v>
      </c>
      <c r="D32" s="2681">
        <f>D23-D26-D29</f>
        <v>0</v>
      </c>
      <c r="E32" s="2682">
        <f>E23-E26-E29</f>
        <v>0</v>
      </c>
      <c r="F32" s="2683"/>
      <c r="G32" s="2590"/>
      <c r="H32" s="2597"/>
      <c r="I32" s="2598"/>
      <c r="J32" s="3418" t="s">
        <v>2311</v>
      </c>
      <c r="K32" s="3419"/>
      <c r="L32" s="2599" t="s">
        <v>2312</v>
      </c>
      <c r="M32" s="2599" t="s">
        <v>2313</v>
      </c>
      <c r="N32" s="2599" t="s">
        <v>2314</v>
      </c>
      <c r="O32" s="2599" t="s">
        <v>2315</v>
      </c>
      <c r="P32" s="2599" t="s">
        <v>2316</v>
      </c>
      <c r="Q32" s="2600" t="s">
        <v>2317</v>
      </c>
      <c r="R32" s="2719" t="s">
        <v>2318</v>
      </c>
      <c r="S32" s="2590"/>
      <c r="T32" s="2590"/>
      <c r="U32" s="2590"/>
      <c r="V32" s="2696"/>
    </row>
    <row r="33" spans="1:23" s="2602" customFormat="1" ht="13.15" customHeight="1">
      <c r="A33" s="2678"/>
      <c r="B33" s="2679"/>
      <c r="C33" s="2680"/>
      <c r="D33" s="2720"/>
      <c r="E33" s="2721"/>
      <c r="F33" s="2683"/>
      <c r="G33" s="2590"/>
      <c r="H33" s="2704"/>
      <c r="I33" s="2696"/>
      <c r="J33" s="3420" t="s">
        <v>2321</v>
      </c>
      <c r="K33" s="3421"/>
      <c r="L33" s="2605"/>
      <c r="M33" s="2605"/>
      <c r="N33" s="2605"/>
      <c r="O33" s="2605"/>
      <c r="P33" s="2605"/>
      <c r="Q33" s="2606"/>
      <c r="R33" s="2722">
        <f>SUM(L33:Q33)</f>
        <v>0</v>
      </c>
      <c r="S33" s="2590"/>
      <c r="T33" s="2590"/>
      <c r="U33" s="2590"/>
      <c r="V33" s="2598"/>
    </row>
    <row r="34" spans="1:23" s="2602" customFormat="1" ht="13.15" customHeight="1">
      <c r="A34" s="2678">
        <v>5</v>
      </c>
      <c r="B34" s="2679" t="s">
        <v>2420</v>
      </c>
      <c r="C34" s="2723"/>
      <c r="D34" s="2724"/>
      <c r="E34" s="2725"/>
      <c r="F34" s="2683"/>
      <c r="G34" s="2590"/>
      <c r="H34" s="2704"/>
      <c r="I34" s="2696"/>
      <c r="J34" s="3420" t="s">
        <v>2323</v>
      </c>
      <c r="K34" s="342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2421</v>
      </c>
      <c r="C35" s="2727"/>
      <c r="D35" s="2728"/>
      <c r="E35" s="2729"/>
      <c r="F35" s="2683"/>
      <c r="G35" s="2730"/>
      <c r="H35" s="2597"/>
      <c r="I35" s="2696"/>
      <c r="J35" s="2616" t="s">
        <v>2325</v>
      </c>
      <c r="K35" s="2617"/>
      <c r="L35" s="2617"/>
      <c r="M35" s="2618"/>
      <c r="N35" s="2618"/>
      <c r="O35" s="2618"/>
      <c r="P35" s="2618"/>
      <c r="Q35" s="2618"/>
      <c r="R35" s="2731">
        <f>R40+R41+R43</f>
        <v>0</v>
      </c>
      <c r="S35" s="2590"/>
      <c r="T35" s="2590" t="s">
        <v>2326</v>
      </c>
      <c r="U35" s="2590"/>
      <c r="V35" s="2598"/>
    </row>
    <row r="36" spans="1:23" s="2602" customFormat="1" ht="13.15" customHeight="1" thickBot="1">
      <c r="A36" s="2678">
        <v>7</v>
      </c>
      <c r="B36" s="2732" t="s">
        <v>2422</v>
      </c>
      <c r="C36" s="2733"/>
      <c r="D36" s="2734"/>
      <c r="E36" s="2735"/>
      <c r="F36" s="2736">
        <f>C36+D36+E36</f>
        <v>0</v>
      </c>
      <c r="G36" s="2590"/>
      <c r="H36" s="2597"/>
      <c r="I36" s="2598"/>
      <c r="J36" s="3412">
        <v>1</v>
      </c>
      <c r="K36" s="3413" t="s">
        <v>2423</v>
      </c>
      <c r="L36" s="2623"/>
      <c r="M36" s="2624"/>
      <c r="N36" s="2624"/>
      <c r="O36" s="2624"/>
      <c r="P36" s="2624"/>
      <c r="Q36" s="2624"/>
      <c r="R36" s="2607" t="s">
        <v>2335</v>
      </c>
      <c r="S36" s="2590"/>
      <c r="T36" s="2590" t="s">
        <v>2336</v>
      </c>
      <c r="U36" s="2590"/>
      <c r="V36" s="2598"/>
    </row>
    <row r="37" spans="1:23" s="2602" customFormat="1" ht="13.15"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2339</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2346</v>
      </c>
      <c r="U38" s="2590"/>
      <c r="V38" s="2598"/>
    </row>
    <row r="39" spans="1:23" s="2602" customFormat="1" ht="13.15" customHeight="1">
      <c r="A39" s="2678">
        <v>9</v>
      </c>
      <c r="B39" s="2679" t="s">
        <v>2424</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15" customHeight="1">
      <c r="A40" s="2737">
        <v>10</v>
      </c>
      <c r="B40" s="2679" t="s">
        <v>2425</v>
      </c>
      <c r="C40" s="2738" t="e">
        <f>C39+D39+E39</f>
        <v>#DIV/0!</v>
      </c>
      <c r="D40" s="2739"/>
      <c r="E40" s="2739"/>
      <c r="F40" s="2740"/>
      <c r="G40" s="2590"/>
      <c r="H40" s="2597"/>
      <c r="I40" s="2598"/>
      <c r="J40" s="3412"/>
      <c r="K40" s="3415"/>
      <c r="L40" s="2652" t="s">
        <v>2364</v>
      </c>
      <c r="M40" s="2653"/>
      <c r="N40" s="2653"/>
      <c r="O40" s="2654"/>
      <c r="P40" s="2654"/>
      <c r="Q40" s="2655"/>
      <c r="R40" s="2601">
        <f>SUM(R37:R39)</f>
        <v>0</v>
      </c>
      <c r="S40" s="2590"/>
      <c r="T40" s="2590"/>
      <c r="U40" s="2590"/>
      <c r="V40" s="2598"/>
    </row>
    <row r="41" spans="1:23" s="2602" customFormat="1" ht="13.15" customHeight="1" thickBot="1">
      <c r="A41" s="2741">
        <v>11</v>
      </c>
      <c r="B41" s="2742" t="s">
        <v>2426</v>
      </c>
      <c r="C41" s="2742" t="e">
        <f>ROUND(C40*10000/B4,0)</f>
        <v>#DIV/0!</v>
      </c>
      <c r="D41" s="2743"/>
      <c r="E41" s="2743"/>
      <c r="F41" s="2744"/>
      <c r="G41" s="2597"/>
      <c r="H41" s="2597"/>
      <c r="I41" s="2598"/>
      <c r="J41" s="2691">
        <v>2</v>
      </c>
      <c r="K41" s="2692" t="s">
        <v>2404</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6">
        <v>3</v>
      </c>
      <c r="K42" s="2698" t="s">
        <v>2406</v>
      </c>
      <c r="L42" s="2699"/>
      <c r="M42" s="2700"/>
      <c r="N42" s="2701" t="s">
        <v>2407</v>
      </c>
      <c r="O42" s="2701" t="s">
        <v>2408</v>
      </c>
      <c r="P42" s="2702" t="s">
        <v>2409</v>
      </c>
      <c r="Q42" s="2702" t="s">
        <v>2410</v>
      </c>
      <c r="R42" s="2607" t="s">
        <v>2335</v>
      </c>
      <c r="S42" s="2641"/>
      <c r="T42" s="2641"/>
      <c r="U42" s="2590"/>
      <c r="V42" s="2598"/>
    </row>
    <row r="43" spans="1:23" ht="13.15"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2413</v>
      </c>
      <c r="L44" s="2747" t="s">
        <v>2414</v>
      </c>
      <c r="M44" s="2713"/>
      <c r="N44" s="2747" t="s">
        <v>2415</v>
      </c>
      <c r="O44" s="2713"/>
      <c r="P44" s="2747" t="s">
        <v>2416</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20" sqref="G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2780</v>
      </c>
      <c r="C2" s="1728" t="s">
        <v>1651</v>
      </c>
      <c r="D2" s="1729" t="s">
        <v>1652</v>
      </c>
      <c r="E2" s="2390">
        <f>SUM(E6:E13)</f>
        <v>32826.21</v>
      </c>
      <c r="F2" s="2477"/>
      <c r="G2" s="459"/>
      <c r="H2" s="459"/>
      <c r="I2" s="459"/>
      <c r="J2" s="459"/>
      <c r="K2" s="459"/>
      <c r="L2" s="459"/>
      <c r="M2" s="459"/>
      <c r="N2" s="459"/>
      <c r="O2" s="459"/>
      <c r="P2" s="459"/>
      <c r="Q2" s="459"/>
      <c r="R2" s="459"/>
      <c r="S2" s="459"/>
    </row>
    <row r="3" spans="1:22" ht="15.75">
      <c r="A3" s="1727" t="s">
        <v>686</v>
      </c>
      <c r="B3" s="2384">
        <f ca="1">ROUND(B2*10000/E2,0)</f>
        <v>847</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31" t="s">
        <v>1654</v>
      </c>
      <c r="C5" s="3432"/>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t="str">
        <f>'数据-取费表'!AN9</f>
        <v>收益法</v>
      </c>
      <c r="B9" s="2385">
        <f ca="1">IF(F9="是",'数据-取费表'!AO9,0)</f>
        <v>1390</v>
      </c>
      <c r="C9" s="1728" t="s">
        <v>1651</v>
      </c>
      <c r="D9" s="2477"/>
      <c r="E9" s="2389">
        <f>IF(OR(A9=0,F9="否"),0,'数据-取费表'!K9+'数据-取费表'!S9)</f>
        <v>23852.28</v>
      </c>
      <c r="F9" s="1731" t="s">
        <v>1657</v>
      </c>
      <c r="G9" s="459"/>
      <c r="H9" s="459"/>
      <c r="I9" s="459"/>
      <c r="J9" s="459"/>
      <c r="K9" s="459"/>
      <c r="L9" s="459"/>
      <c r="M9" s="459"/>
      <c r="N9" s="459"/>
      <c r="O9" s="459"/>
      <c r="P9" s="459"/>
      <c r="Q9" s="459"/>
      <c r="R9" s="459"/>
      <c r="S9" s="459"/>
    </row>
    <row r="10" spans="1:22">
      <c r="A10" s="2387" t="str">
        <f>'数据-取费表'!AN10</f>
        <v>收益法</v>
      </c>
      <c r="B10" s="2385">
        <f ca="1">IF(F10="是",'数据-取费表'!AO10,0)</f>
        <v>1390</v>
      </c>
      <c r="C10" s="1728" t="s">
        <v>1651</v>
      </c>
      <c r="D10" s="2477"/>
      <c r="E10" s="2389">
        <f>IF(OR(A10=0,F10="否"),0,'数据-取费表'!K10+'数据-取费表'!S10)</f>
        <v>8973.9299999999985</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tabSelected="1" view="pageBreakPreview" topLeftCell="A10" zoomScale="85" zoomScaleNormal="60" zoomScaleSheetLayoutView="85" workbookViewId="0">
      <selection activeCell="N44" sqref="N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3677</v>
      </c>
      <c r="F1" s="1734" t="s">
        <v>3678</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30604</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37960</v>
      </c>
      <c r="C3" s="344" t="s">
        <v>1665</v>
      </c>
      <c r="D3" s="343">
        <f>IF(D1="",'数据-汇总表'!E3,SUMIF('数据-汇总表'!$C19:$C33,D1,'数据-汇总表'!$E19:$E33))</f>
        <v>8062.17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66" t="s">
        <v>1667</v>
      </c>
      <c r="D4" s="3378"/>
      <c r="E4" s="3379" t="s">
        <v>1668</v>
      </c>
      <c r="F4" s="3380"/>
      <c r="G4" s="3366" t="s">
        <v>1669</v>
      </c>
      <c r="H4" s="3378"/>
      <c r="I4" s="3366" t="s">
        <v>1670</v>
      </c>
      <c r="J4" s="3378"/>
      <c r="K4" s="1743" t="s">
        <v>1671</v>
      </c>
      <c r="L4" s="2484"/>
      <c r="M4" s="2485"/>
      <c r="N4" s="2485"/>
      <c r="O4" s="2485"/>
      <c r="P4" s="3381" t="s">
        <v>1672</v>
      </c>
      <c r="Q4" s="3382"/>
      <c r="R4" s="3387" t="s">
        <v>1668</v>
      </c>
      <c r="S4" s="3388"/>
      <c r="T4" s="3387" t="s">
        <v>1669</v>
      </c>
      <c r="U4" s="3388"/>
      <c r="V4" s="3374" t="s">
        <v>1670</v>
      </c>
      <c r="W4" s="3374"/>
      <c r="X4" s="1264"/>
      <c r="Y4" s="3387" t="s">
        <v>1672</v>
      </c>
      <c r="Z4" s="3388"/>
      <c r="AA4" s="3375" t="s">
        <v>1668</v>
      </c>
      <c r="AB4" s="3375" t="s">
        <v>1669</v>
      </c>
      <c r="AC4" s="3375" t="s">
        <v>1670</v>
      </c>
    </row>
    <row r="5" spans="1:29" ht="15">
      <c r="A5" s="348"/>
      <c r="B5" s="349"/>
      <c r="C5" s="3440" t="s">
        <v>3687</v>
      </c>
      <c r="D5" s="3396"/>
      <c r="E5" s="3441" t="s">
        <v>3713</v>
      </c>
      <c r="F5" s="3403"/>
      <c r="G5" s="3440" t="s">
        <v>3675</v>
      </c>
      <c r="H5" s="3396"/>
      <c r="I5" s="3440" t="s">
        <v>3676</v>
      </c>
      <c r="J5" s="3396"/>
      <c r="K5" s="1744"/>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1744"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v>45566</v>
      </c>
      <c r="F7" s="357">
        <f>SUMIF(58:58,YEAR(E7)&amp;"-"&amp;MONTH(E7),59:59)</f>
        <v>100</v>
      </c>
      <c r="G7" s="356">
        <v>45566</v>
      </c>
      <c r="H7" s="355">
        <f>SUMIF(58:58,YEAR(G7)&amp;"-"&amp;MONTH(G7),59:59)</f>
        <v>100</v>
      </c>
      <c r="I7" s="356">
        <v>45566</v>
      </c>
      <c r="J7" s="355">
        <f>SUMIF(58:58,YEAR(I7)&amp;"-"&amp;MONTH(I7),59:59)</f>
        <v>100</v>
      </c>
      <c r="K7" s="1745"/>
      <c r="L7" s="2486"/>
      <c r="M7" s="2437"/>
      <c r="N7" s="2437"/>
      <c r="O7" s="2437"/>
      <c r="P7" s="3397" t="s">
        <v>1680</v>
      </c>
      <c r="Q7" s="3399"/>
      <c r="R7" s="664" t="s">
        <v>20</v>
      </c>
      <c r="S7" s="665">
        <f t="shared" ref="S7:S15" si="0">F7</f>
        <v>100</v>
      </c>
      <c r="T7" s="664" t="s">
        <v>20</v>
      </c>
      <c r="U7" s="665">
        <f t="shared" ref="U7:U15" si="1">H7</f>
        <v>100</v>
      </c>
      <c r="V7" s="664" t="s">
        <v>20</v>
      </c>
      <c r="W7" s="665">
        <f t="shared" ref="W7:W15" si="2">J7</f>
        <v>100</v>
      </c>
      <c r="X7" s="666"/>
      <c r="Y7" s="3397" t="s">
        <v>1680</v>
      </c>
      <c r="Z7" s="3398"/>
      <c r="AA7" s="50">
        <f>D7/F7</f>
        <v>1</v>
      </c>
      <c r="AB7" s="50">
        <f>D7/H7</f>
        <v>1</v>
      </c>
      <c r="AC7" s="50">
        <f>D7/J7</f>
        <v>1</v>
      </c>
    </row>
    <row r="8" spans="1:29" s="102" customFormat="1" ht="15.75" thickBot="1">
      <c r="A8" s="352" t="s">
        <v>1681</v>
      </c>
      <c r="B8" s="353"/>
      <c r="C8" s="358" t="s">
        <v>3679</v>
      </c>
      <c r="D8" s="355">
        <v>100</v>
      </c>
      <c r="E8" s="358" t="s">
        <v>3679</v>
      </c>
      <c r="F8" s="357">
        <f>SUMIF(61:61,E8,62:62)-SUMIF(61:61,C8,62:62)+100</f>
        <v>100</v>
      </c>
      <c r="G8" s="358" t="s">
        <v>3679</v>
      </c>
      <c r="H8" s="355">
        <f>SUMIF(61:61,G8,62:62)-SUMIF(61:61,C8,62:62)+100</f>
        <v>100</v>
      </c>
      <c r="I8" s="1746" t="s">
        <v>3679</v>
      </c>
      <c r="J8" s="355">
        <f>SUMIF(61:61,I8,62:62)-SUMIF(61:61,C8,62:62)+100</f>
        <v>100</v>
      </c>
      <c r="K8" s="1745"/>
      <c r="L8" s="2486"/>
      <c r="M8" s="2437"/>
      <c r="N8" s="2437"/>
      <c r="O8" s="2437"/>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c r="A9" s="359" t="s">
        <v>1684</v>
      </c>
      <c r="B9" s="60" t="s">
        <v>1685</v>
      </c>
      <c r="C9" s="3167" t="s">
        <v>308</v>
      </c>
      <c r="D9" s="59">
        <v>100</v>
      </c>
      <c r="E9" s="362" t="s">
        <v>3388</v>
      </c>
      <c r="F9" s="60">
        <f>SUMIF(63:63,E9,64:64)-SUMIF(63:63,C9,64:64)+100</f>
        <v>100</v>
      </c>
      <c r="G9" s="362" t="s">
        <v>3388</v>
      </c>
      <c r="H9" s="59">
        <f>SUMIF(63:63,G9,64:64)-SUMIF(63:63,C9,64:64)+100</f>
        <v>100</v>
      </c>
      <c r="I9" s="362" t="s">
        <v>3388</v>
      </c>
      <c r="J9" s="59">
        <f>SUMIF(63:63,I9,64:64)-SUMIF(63:63,C9,64:64)+100</f>
        <v>100</v>
      </c>
      <c r="K9" s="1745"/>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72" t="s">
        <v>3730</v>
      </c>
      <c r="D10" s="119">
        <v>100</v>
      </c>
      <c r="E10" s="3130" t="s">
        <v>3681</v>
      </c>
      <c r="F10" s="364">
        <f>SUMIF(65:65,E10,66:66)-SUMIF(65:65,C10,66:66)+100</f>
        <v>102</v>
      </c>
      <c r="G10" s="3130" t="s">
        <v>3681</v>
      </c>
      <c r="H10" s="119">
        <f>SUMIF(65:65,G10,66:66)-SUMIF(65:65,C10,66:66)+100</f>
        <v>102</v>
      </c>
      <c r="I10" s="3130" t="s">
        <v>3681</v>
      </c>
      <c r="J10" s="119">
        <f>SUMIF(65:65,I10,66:66)-SUMIF(65:65,C10,66:66)+100</f>
        <v>102</v>
      </c>
      <c r="K10" s="1745"/>
      <c r="L10" s="2487"/>
      <c r="M10" s="2488"/>
      <c r="N10" s="2488"/>
      <c r="O10" s="2488"/>
      <c r="P10" s="3368"/>
      <c r="Q10" s="530" t="str">
        <f t="shared" si="6"/>
        <v>土地使用年限（年）</v>
      </c>
      <c r="R10" s="664" t="s">
        <v>14</v>
      </c>
      <c r="S10" s="665">
        <f t="shared" si="0"/>
        <v>102</v>
      </c>
      <c r="T10" s="664" t="s">
        <v>14</v>
      </c>
      <c r="U10" s="665">
        <f t="shared" si="1"/>
        <v>102</v>
      </c>
      <c r="V10" s="664" t="s">
        <v>14</v>
      </c>
      <c r="W10" s="665">
        <f t="shared" si="2"/>
        <v>102</v>
      </c>
      <c r="X10" s="666"/>
      <c r="Y10" s="3269"/>
      <c r="Z10" s="50" t="str">
        <f t="shared" si="7"/>
        <v>土地使用年限（年）</v>
      </c>
      <c r="AA10" s="50">
        <f t="shared" si="3"/>
        <v>0.98039215686274506</v>
      </c>
      <c r="AB10" s="50">
        <f t="shared" si="4"/>
        <v>0.98039215686274506</v>
      </c>
      <c r="AC10" s="50">
        <f t="shared" si="5"/>
        <v>0.98039215686274506</v>
      </c>
    </row>
    <row r="11" spans="1:29" ht="15">
      <c r="A11" s="367"/>
      <c r="B11" s="364" t="s">
        <v>1689</v>
      </c>
      <c r="C11" s="368">
        <f>'[2]土地比较法-住宅、综合'!C11</f>
        <v>0.87</v>
      </c>
      <c r="D11" s="119">
        <v>100</v>
      </c>
      <c r="E11" s="368">
        <v>1</v>
      </c>
      <c r="F11" s="364">
        <f>LOOKUP(E11,68:68,69:69)-LOOKUP(C11,68:68,69:69)+100</f>
        <v>95</v>
      </c>
      <c r="G11" s="368">
        <v>1</v>
      </c>
      <c r="H11" s="119">
        <f>LOOKUP(G11,68:68,69:69)-LOOKUP(C11,68:68,69:69)+100</f>
        <v>95</v>
      </c>
      <c r="I11" s="368">
        <v>0.36</v>
      </c>
      <c r="J11" s="119">
        <f>LOOKUP(I11,68:68,69:69)-LOOKUP(C11,68:68,69:69)+100</f>
        <v>105</v>
      </c>
      <c r="K11" s="365">
        <v>5</v>
      </c>
      <c r="L11" s="2489"/>
      <c r="M11" s="2485"/>
      <c r="N11" s="2485"/>
      <c r="O11" s="2485"/>
      <c r="P11" s="3368"/>
      <c r="Q11" s="530" t="str">
        <f t="shared" si="6"/>
        <v>容积率</v>
      </c>
      <c r="R11" s="664" t="s">
        <v>18</v>
      </c>
      <c r="S11" s="665">
        <f t="shared" si="0"/>
        <v>95</v>
      </c>
      <c r="T11" s="664" t="s">
        <v>18</v>
      </c>
      <c r="U11" s="665">
        <f t="shared" si="1"/>
        <v>95</v>
      </c>
      <c r="V11" s="664" t="s">
        <v>18</v>
      </c>
      <c r="W11" s="665">
        <f t="shared" si="2"/>
        <v>105</v>
      </c>
      <c r="X11" s="666"/>
      <c r="Y11" s="3269"/>
      <c r="Z11" s="50" t="str">
        <f t="shared" si="7"/>
        <v>容积率</v>
      </c>
      <c r="AA11" s="50">
        <f t="shared" si="3"/>
        <v>1.0526315789473684</v>
      </c>
      <c r="AB11" s="50">
        <f t="shared" si="4"/>
        <v>1.0526315789473684</v>
      </c>
      <c r="AC11" s="50">
        <f t="shared" si="5"/>
        <v>0.95238095238095233</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68"/>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68"/>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68"/>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15">
      <c r="A15" s="379" t="s">
        <v>1690</v>
      </c>
      <c r="B15" s="58" t="s">
        <v>1257</v>
      </c>
      <c r="C15" s="1749" t="str">
        <f>估价对象房地状况!C3</f>
        <v>一般</v>
      </c>
      <c r="D15" s="380">
        <v>100</v>
      </c>
      <c r="E15" s="381"/>
      <c r="F15" s="380">
        <f>SUMIF(76:76,E16,77:77)-SUMIF(76:76,C16,77:77)+100</f>
        <v>102</v>
      </c>
      <c r="G15" s="381"/>
      <c r="H15" s="380">
        <f>SUMIF(76:76,G16,77:77)-SUMIF(76:76,C16,77:77)+100</f>
        <v>102</v>
      </c>
      <c r="I15" s="381"/>
      <c r="J15" s="380">
        <f>SUMIF(76:76,I16,77:77)-SUMIF(76:76,C16,77:77)+100</f>
        <v>102</v>
      </c>
      <c r="K15" s="384">
        <v>2</v>
      </c>
      <c r="L15" s="2490"/>
      <c r="M15" s="2485"/>
      <c r="N15" s="2485"/>
      <c r="O15" s="2485"/>
      <c r="P15" s="3438" t="s">
        <v>1691</v>
      </c>
      <c r="Q15" s="1262" t="str">
        <f t="shared" si="6"/>
        <v>居住社区成熟度</v>
      </c>
      <c r="R15" s="667" t="s">
        <v>18</v>
      </c>
      <c r="S15" s="668">
        <f t="shared" si="0"/>
        <v>102</v>
      </c>
      <c r="T15" s="667" t="s">
        <v>18</v>
      </c>
      <c r="U15" s="668">
        <f t="shared" si="1"/>
        <v>102</v>
      </c>
      <c r="V15" s="667" t="s">
        <v>18</v>
      </c>
      <c r="W15" s="668">
        <f t="shared" si="2"/>
        <v>102</v>
      </c>
      <c r="X15" s="1264"/>
      <c r="Y15" s="3370" t="s">
        <v>1691</v>
      </c>
      <c r="Z15" s="1263" t="str">
        <f t="shared" si="7"/>
        <v>居住社区成熟度</v>
      </c>
      <c r="AA15" s="1263">
        <f t="shared" si="3"/>
        <v>0.98039215686274506</v>
      </c>
      <c r="AB15" s="1263">
        <f t="shared" si="4"/>
        <v>0.98039215686274506</v>
      </c>
      <c r="AC15" s="1263">
        <f t="shared" si="5"/>
        <v>0.98039215686274506</v>
      </c>
    </row>
    <row r="16" spans="1:29" ht="15">
      <c r="A16" s="367"/>
      <c r="B16" s="385"/>
      <c r="C16" s="1756" t="s">
        <v>3517</v>
      </c>
      <c r="D16" s="387"/>
      <c r="E16" s="1751" t="s">
        <v>3665</v>
      </c>
      <c r="F16" s="387"/>
      <c r="G16" s="1751" t="s">
        <v>3665</v>
      </c>
      <c r="H16" s="389"/>
      <c r="I16" s="1751" t="s">
        <v>3665</v>
      </c>
      <c r="J16" s="387"/>
      <c r="K16" s="1752"/>
      <c r="L16" s="2490"/>
      <c r="M16" s="2485"/>
      <c r="N16" s="2485"/>
      <c r="O16" s="2485"/>
      <c r="P16" s="3439"/>
      <c r="Q16" s="1262"/>
      <c r="R16" s="667"/>
      <c r="S16" s="668"/>
      <c r="T16" s="667"/>
      <c r="U16" s="668"/>
      <c r="V16" s="667"/>
      <c r="W16" s="668"/>
      <c r="X16" s="1264"/>
      <c r="Y16" s="3371"/>
      <c r="Z16" s="1263"/>
      <c r="AA16" s="1263">
        <v>1</v>
      </c>
      <c r="AB16" s="1263">
        <v>1</v>
      </c>
      <c r="AC16" s="1263">
        <v>1</v>
      </c>
    </row>
    <row r="17" spans="1:29" ht="15">
      <c r="A17" s="367"/>
      <c r="B17" s="390" t="s">
        <v>1259</v>
      </c>
      <c r="C17" s="1753" t="str">
        <f>估价对象房地状况!C6</f>
        <v>一般</v>
      </c>
      <c r="D17" s="389">
        <v>100</v>
      </c>
      <c r="E17" s="391"/>
      <c r="F17" s="389">
        <f>SUMIF(78:78,E18,79:79)-SUMIF(78:78,C18,79:79)+100</f>
        <v>100</v>
      </c>
      <c r="G17" s="391"/>
      <c r="H17" s="394">
        <f>SUMIF(78:78,G18,79:79)-SUMIF(78:78,C18,79:79)+100</f>
        <v>100</v>
      </c>
      <c r="I17" s="391"/>
      <c r="J17" s="394">
        <f>SUMIF(78:78,I18,79:79)-SUMIF(78:78,C18,79:79)+100</f>
        <v>100</v>
      </c>
      <c r="K17" s="384">
        <v>2</v>
      </c>
      <c r="L17" s="2490"/>
      <c r="M17" s="2485"/>
      <c r="N17" s="2485"/>
      <c r="O17" s="2485"/>
      <c r="P17" s="3439"/>
      <c r="Q17" s="1262" t="str">
        <f>B17</f>
        <v>交通便捷度</v>
      </c>
      <c r="R17" s="667" t="s">
        <v>18</v>
      </c>
      <c r="S17" s="668">
        <f>F17</f>
        <v>100</v>
      </c>
      <c r="T17" s="667" t="s">
        <v>18</v>
      </c>
      <c r="U17" s="668">
        <f>H17</f>
        <v>100</v>
      </c>
      <c r="V17" s="667" t="s">
        <v>18</v>
      </c>
      <c r="W17" s="668">
        <f>J17</f>
        <v>100</v>
      </c>
      <c r="X17" s="1264"/>
      <c r="Y17" s="3371"/>
      <c r="Z17" s="1263" t="str">
        <f>Q17</f>
        <v>交通便捷度</v>
      </c>
      <c r="AA17" s="1263">
        <f t="shared" si="3"/>
        <v>1</v>
      </c>
      <c r="AB17" s="1263">
        <f t="shared" si="4"/>
        <v>1</v>
      </c>
      <c r="AC17" s="1263">
        <f t="shared" si="5"/>
        <v>1</v>
      </c>
    </row>
    <row r="18" spans="1:29" ht="15">
      <c r="A18" s="367"/>
      <c r="B18" s="395"/>
      <c r="C18" s="1756" t="s">
        <v>3517</v>
      </c>
      <c r="D18" s="389"/>
      <c r="E18" s="1756" t="s">
        <v>3517</v>
      </c>
      <c r="F18" s="389"/>
      <c r="G18" s="1756" t="s">
        <v>3517</v>
      </c>
      <c r="H18" s="387"/>
      <c r="I18" s="1756" t="s">
        <v>3517</v>
      </c>
      <c r="J18" s="387"/>
      <c r="K18" s="1752"/>
      <c r="L18" s="2490"/>
      <c r="M18" s="2485"/>
      <c r="N18" s="2485"/>
      <c r="O18" s="2485"/>
      <c r="P18" s="3439"/>
      <c r="Q18" s="1262"/>
      <c r="R18" s="667"/>
      <c r="S18" s="668"/>
      <c r="T18" s="667"/>
      <c r="U18" s="668"/>
      <c r="V18" s="667"/>
      <c r="W18" s="668"/>
      <c r="X18" s="1264"/>
      <c r="Y18" s="3371"/>
      <c r="Z18" s="1263"/>
      <c r="AA18" s="1263">
        <v>1</v>
      </c>
      <c r="AB18" s="1263">
        <v>1</v>
      </c>
      <c r="AC18" s="1263">
        <v>1</v>
      </c>
    </row>
    <row r="19" spans="1:29" ht="15">
      <c r="A19" s="367"/>
      <c r="B19" s="390" t="s">
        <v>1258</v>
      </c>
      <c r="C19" s="1753" t="str">
        <f>估价对象房地状况!C7</f>
        <v>一般</v>
      </c>
      <c r="D19" s="394">
        <v>100</v>
      </c>
      <c r="E19" s="396"/>
      <c r="F19" s="394">
        <f>SUMIF(80:80,E20,81:81)-SUMIF(80:80,C20,81:81)+100</f>
        <v>102</v>
      </c>
      <c r="G19" s="396"/>
      <c r="H19" s="389">
        <f>SUMIF(80:80,G20,81:81)-SUMIF(80:80,C20,81:81)+100</f>
        <v>102</v>
      </c>
      <c r="I19" s="396"/>
      <c r="J19" s="389">
        <f>SUMIF(80:80,I20,81:81)-SUMIF(80:80,C20,81:81)+100</f>
        <v>100</v>
      </c>
      <c r="K19" s="384">
        <v>2</v>
      </c>
      <c r="L19" s="2490"/>
      <c r="M19" s="2485"/>
      <c r="N19" s="2485"/>
      <c r="O19" s="2485"/>
      <c r="P19" s="3439"/>
      <c r="Q19" s="1262" t="str">
        <f>B19</f>
        <v>公共配套设施</v>
      </c>
      <c r="R19" s="667" t="s">
        <v>18</v>
      </c>
      <c r="S19" s="668">
        <f>F19</f>
        <v>102</v>
      </c>
      <c r="T19" s="667" t="s">
        <v>18</v>
      </c>
      <c r="U19" s="668">
        <f>H19</f>
        <v>102</v>
      </c>
      <c r="V19" s="667" t="s">
        <v>18</v>
      </c>
      <c r="W19" s="668">
        <f>J19</f>
        <v>100</v>
      </c>
      <c r="X19" s="1264"/>
      <c r="Y19" s="3371"/>
      <c r="Z19" s="1263" t="str">
        <f>Q19</f>
        <v>公共配套设施</v>
      </c>
      <c r="AA19" s="1263">
        <f t="shared" si="3"/>
        <v>0.98039215686274506</v>
      </c>
      <c r="AB19" s="1263">
        <f t="shared" si="4"/>
        <v>0.98039215686274506</v>
      </c>
      <c r="AC19" s="1263">
        <f t="shared" si="5"/>
        <v>1</v>
      </c>
    </row>
    <row r="20" spans="1:29" ht="15">
      <c r="A20" s="367"/>
      <c r="B20" s="395"/>
      <c r="C20" s="1756" t="s">
        <v>3517</v>
      </c>
      <c r="D20" s="387"/>
      <c r="E20" s="1751" t="s">
        <v>3665</v>
      </c>
      <c r="F20" s="387"/>
      <c r="G20" s="1751" t="s">
        <v>3665</v>
      </c>
      <c r="H20" s="387"/>
      <c r="I20" s="1751" t="s">
        <v>3517</v>
      </c>
      <c r="J20" s="387"/>
      <c r="K20" s="1752"/>
      <c r="L20" s="2490"/>
      <c r="M20" s="2485"/>
      <c r="N20" s="2485"/>
      <c r="O20" s="2485"/>
      <c r="P20" s="3439"/>
      <c r="Q20" s="1262"/>
      <c r="R20" s="667"/>
      <c r="S20" s="668"/>
      <c r="T20" s="667"/>
      <c r="U20" s="668"/>
      <c r="V20" s="667"/>
      <c r="W20" s="668"/>
      <c r="X20" s="1264"/>
      <c r="Y20" s="3371"/>
      <c r="Z20" s="1263"/>
      <c r="AA20" s="1263">
        <v>1</v>
      </c>
      <c r="AB20" s="1263">
        <v>1</v>
      </c>
      <c r="AC20" s="1263">
        <v>1</v>
      </c>
    </row>
    <row r="21" spans="1:29" ht="15">
      <c r="A21" s="367"/>
      <c r="B21" s="586" t="s">
        <v>1260</v>
      </c>
      <c r="C21" s="1753" t="str">
        <f>估价对象房地状况!C8</f>
        <v>七通</v>
      </c>
      <c r="D21" s="389">
        <v>100</v>
      </c>
      <c r="E21" s="396"/>
      <c r="F21" s="394">
        <f>SUMIF(82:82,E22,83:83)-SUMIF(82:82,C22,83:83)+100</f>
        <v>100</v>
      </c>
      <c r="G21" s="396"/>
      <c r="H21" s="389">
        <f>SUMIF(82:82,G22,83:83)-SUMIF(82:82,C22,83:83)+100</f>
        <v>100</v>
      </c>
      <c r="I21" s="396"/>
      <c r="J21" s="389">
        <f>SUMIF(82:82,I22,83:83)-SUMIF(82:82,C22,83:83)+100</f>
        <v>100</v>
      </c>
      <c r="K21" s="384">
        <v>1</v>
      </c>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7" t="s">
        <v>3659</v>
      </c>
      <c r="D22" s="387"/>
      <c r="E22" s="1757" t="s">
        <v>3659</v>
      </c>
      <c r="F22" s="387"/>
      <c r="G22" s="1757" t="s">
        <v>3659</v>
      </c>
      <c r="H22" s="387"/>
      <c r="I22" s="386" t="s">
        <v>3659</v>
      </c>
      <c r="J22" s="387"/>
      <c r="K22" s="1758"/>
      <c r="L22" s="2490"/>
      <c r="M22" s="2485"/>
      <c r="N22" s="2485"/>
      <c r="O22" s="2485"/>
      <c r="P22" s="3439"/>
      <c r="Q22" s="1262"/>
      <c r="R22" s="667"/>
      <c r="S22" s="668"/>
      <c r="T22" s="667"/>
      <c r="U22" s="668"/>
      <c r="V22" s="667"/>
      <c r="W22" s="668"/>
      <c r="X22" s="1264"/>
      <c r="Y22" s="3371"/>
      <c r="Z22" s="1263"/>
      <c r="AA22" s="1263">
        <v>1</v>
      </c>
      <c r="AB22" s="1263">
        <v>1</v>
      </c>
      <c r="AC22" s="1263">
        <v>1</v>
      </c>
    </row>
    <row r="23" spans="1:29" ht="15">
      <c r="A23" s="367"/>
      <c r="B23" s="390" t="s">
        <v>1261</v>
      </c>
      <c r="C23" s="1753" t="str">
        <f>估价对象房地状况!C9</f>
        <v>一般</v>
      </c>
      <c r="D23" s="389">
        <v>100</v>
      </c>
      <c r="E23" s="391"/>
      <c r="F23" s="389">
        <f>SUMIF(84:84,E24,85:85)-SUMIF(84:84,C24,85:85)+100</f>
        <v>100</v>
      </c>
      <c r="G23" s="391"/>
      <c r="H23" s="389">
        <f>SUMIF(84:84,G24,85:85)-SUMIF(84:84,C24,85:85)+100</f>
        <v>100</v>
      </c>
      <c r="I23" s="391"/>
      <c r="J23" s="389">
        <f>SUMIF(84:84,I24,85:85)-SUMIF(84:84,C24,85:85)+100</f>
        <v>100</v>
      </c>
      <c r="K23" s="384">
        <v>2</v>
      </c>
      <c r="L23" s="2490"/>
      <c r="M23" s="2485"/>
      <c r="N23" s="2485"/>
      <c r="O23" s="2485"/>
      <c r="P23" s="3439"/>
      <c r="Q23" s="1262" t="str">
        <f>B23</f>
        <v>自然及人文环境</v>
      </c>
      <c r="R23" s="667" t="s">
        <v>18</v>
      </c>
      <c r="S23" s="668">
        <f>F23</f>
        <v>100</v>
      </c>
      <c r="T23" s="667" t="s">
        <v>18</v>
      </c>
      <c r="U23" s="668">
        <f>H23</f>
        <v>100</v>
      </c>
      <c r="V23" s="667" t="s">
        <v>18</v>
      </c>
      <c r="W23" s="668">
        <f>J23</f>
        <v>100</v>
      </c>
      <c r="X23" s="1264"/>
      <c r="Y23" s="3371"/>
      <c r="Z23" s="1263" t="str">
        <f>Q23</f>
        <v>自然及人文环境</v>
      </c>
      <c r="AA23" s="1263">
        <f>D23/F23</f>
        <v>1</v>
      </c>
      <c r="AB23" s="1263">
        <f>D23/H23</f>
        <v>1</v>
      </c>
      <c r="AC23" s="1263">
        <f>D23/J23</f>
        <v>1</v>
      </c>
    </row>
    <row r="24" spans="1:29" ht="15">
      <c r="A24" s="367"/>
      <c r="B24" s="395"/>
      <c r="C24" s="1751" t="s">
        <v>3517</v>
      </c>
      <c r="D24" s="387"/>
      <c r="E24" s="1751" t="s">
        <v>3517</v>
      </c>
      <c r="F24" s="387"/>
      <c r="G24" s="1751" t="s">
        <v>3517</v>
      </c>
      <c r="H24" s="387"/>
      <c r="I24" s="1751" t="s">
        <v>3517</v>
      </c>
      <c r="J24" s="387"/>
      <c r="K24" s="1752"/>
      <c r="L24" s="2490"/>
      <c r="M24" s="2485"/>
      <c r="N24" s="2485"/>
      <c r="O24" s="2485"/>
      <c r="P24" s="3439"/>
      <c r="Q24" s="1262"/>
      <c r="R24" s="667"/>
      <c r="S24" s="668"/>
      <c r="T24" s="667"/>
      <c r="U24" s="668"/>
      <c r="V24" s="667"/>
      <c r="W24" s="668"/>
      <c r="X24" s="1264"/>
      <c r="Y24" s="3371"/>
      <c r="Z24" s="1263"/>
      <c r="AA24" s="1263">
        <v>1</v>
      </c>
      <c r="AB24" s="1263">
        <v>1</v>
      </c>
      <c r="AC24" s="1263">
        <v>1</v>
      </c>
    </row>
    <row r="25" spans="1:29" ht="15">
      <c r="A25" s="367"/>
      <c r="B25" s="364" t="s">
        <v>1692</v>
      </c>
      <c r="C25" s="399"/>
      <c r="D25" s="374">
        <v>100</v>
      </c>
      <c r="E25" s="1760"/>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60"/>
      <c r="F26" s="374">
        <f>SUMIF(88:88,E26,89:89)-SUMIF(88:88,C26,89:89)+100</f>
        <v>100</v>
      </c>
      <c r="G26" s="1760"/>
      <c r="H26" s="374">
        <f>SUMIF(88:88,G26,89:89)-SUMIF(88:88,C26,89:89)+100</f>
        <v>100</v>
      </c>
      <c r="I26" s="1760"/>
      <c r="J26" s="374">
        <f>SUMIF(88:88,I26,89:89)-SUMIF(88:88,C26,89:89)+100</f>
        <v>100</v>
      </c>
      <c r="K26" s="365"/>
      <c r="L26" s="2490"/>
      <c r="M26" s="2485"/>
      <c r="N26" s="2485"/>
      <c r="O26" s="2485"/>
      <c r="P26" s="3439"/>
      <c r="Q26" s="1262" t="str">
        <f t="shared" si="11"/>
        <v>朝向</v>
      </c>
      <c r="R26" s="667" t="s">
        <v>18</v>
      </c>
      <c r="S26" s="668">
        <f t="shared" si="12"/>
        <v>100</v>
      </c>
      <c r="T26" s="667" t="s">
        <v>18</v>
      </c>
      <c r="U26" s="668">
        <f t="shared" si="13"/>
        <v>100</v>
      </c>
      <c r="V26" s="667" t="s">
        <v>18</v>
      </c>
      <c r="W26" s="668">
        <f t="shared" si="14"/>
        <v>100</v>
      </c>
      <c r="X26" s="1264"/>
      <c r="Y26" s="3371"/>
      <c r="Z26" s="1263" t="str">
        <f>Q26</f>
        <v>朝向</v>
      </c>
      <c r="AA26" s="1263">
        <f t="shared" si="15"/>
        <v>1</v>
      </c>
      <c r="AB26" s="1263">
        <f t="shared" si="16"/>
        <v>1</v>
      </c>
      <c r="AC26" s="1263">
        <f t="shared" si="17"/>
        <v>1</v>
      </c>
    </row>
    <row r="27" spans="1:29" s="102" customFormat="1" ht="15">
      <c r="A27" s="370"/>
      <c r="B27" s="1066">
        <v>111</v>
      </c>
      <c r="C27" s="371"/>
      <c r="D27" s="401">
        <v>100</v>
      </c>
      <c r="E27" s="402"/>
      <c r="F27" s="401">
        <f>SUMIF(90:90,E27,91:91)-SUMIF(90:90,C27,91:91)+100</f>
        <v>100</v>
      </c>
      <c r="G27" s="402"/>
      <c r="H27" s="401">
        <f>SUMIF(90:90,G27,91:91)-SUMIF(90:90,C27,91:91)+100</f>
        <v>100</v>
      </c>
      <c r="I27" s="402"/>
      <c r="J27" s="401">
        <f>SUMIF(90:90,I27,91:91)-SUMIF(90:90,C27,91:91)+100</f>
        <v>100</v>
      </c>
      <c r="K27" s="1747"/>
      <c r="L27" s="2486"/>
      <c r="M27" s="2437"/>
      <c r="N27" s="2437"/>
      <c r="O27" s="2437"/>
      <c r="P27" s="3439"/>
      <c r="Q27" s="530">
        <f t="shared" si="11"/>
        <v>111</v>
      </c>
      <c r="R27" s="664" t="s">
        <v>18</v>
      </c>
      <c r="S27" s="665">
        <f t="shared" si="12"/>
        <v>100</v>
      </c>
      <c r="T27" s="664" t="s">
        <v>18</v>
      </c>
      <c r="U27" s="665">
        <f t="shared" si="13"/>
        <v>100</v>
      </c>
      <c r="V27" s="664" t="s">
        <v>18</v>
      </c>
      <c r="W27" s="665">
        <f t="shared" si="14"/>
        <v>100</v>
      </c>
      <c r="X27" s="666"/>
      <c r="Y27" s="3371"/>
      <c r="Z27" s="50">
        <f>Q27</f>
        <v>111</v>
      </c>
      <c r="AA27" s="1263">
        <f t="shared" si="15"/>
        <v>1</v>
      </c>
      <c r="AB27" s="1263">
        <f t="shared" si="16"/>
        <v>1</v>
      </c>
      <c r="AC27" s="1263">
        <f t="shared" si="17"/>
        <v>1</v>
      </c>
    </row>
    <row r="28" spans="1:29" ht="15">
      <c r="A28" s="367"/>
      <c r="B28" s="1066">
        <v>111</v>
      </c>
      <c r="C28" s="373"/>
      <c r="D28" s="374">
        <v>100</v>
      </c>
      <c r="E28" s="1761"/>
      <c r="F28" s="374">
        <f>SUMIF(92:92,E28,93:93)-SUMIF(92:92,C28,93:93)+100</f>
        <v>100</v>
      </c>
      <c r="G28" s="1761"/>
      <c r="H28" s="374">
        <f>SUMIF(92:92,G28,93:93)-SUMIF(92:92,C28,93:93)+100</f>
        <v>100</v>
      </c>
      <c r="I28" s="373"/>
      <c r="J28" s="374">
        <f>SUMIF(92:92,I28,93:93)-SUMIF(92:92,C28,93:93)+100</f>
        <v>100</v>
      </c>
      <c r="K28" s="1747"/>
      <c r="L28" s="2490"/>
      <c r="M28" s="2485"/>
      <c r="N28" s="2485"/>
      <c r="O28" s="2485"/>
      <c r="P28" s="3439"/>
      <c r="Q28" s="1262">
        <f t="shared" si="11"/>
        <v>111</v>
      </c>
      <c r="R28" s="667" t="s">
        <v>18</v>
      </c>
      <c r="S28" s="668">
        <f t="shared" si="12"/>
        <v>100</v>
      </c>
      <c r="T28" s="667" t="s">
        <v>18</v>
      </c>
      <c r="U28" s="668">
        <f t="shared" si="13"/>
        <v>100</v>
      </c>
      <c r="V28" s="667" t="s">
        <v>18</v>
      </c>
      <c r="W28" s="668">
        <f t="shared" si="14"/>
        <v>100</v>
      </c>
      <c r="X28" s="1264"/>
      <c r="Y28" s="3371"/>
      <c r="Z28" s="1263">
        <f t="shared" ref="Z28:Z46" si="18">Q28</f>
        <v>111</v>
      </c>
      <c r="AA28" s="1263">
        <f t="shared" si="15"/>
        <v>1</v>
      </c>
      <c r="AB28" s="1263">
        <f t="shared" si="16"/>
        <v>1</v>
      </c>
      <c r="AC28" s="1263">
        <f t="shared" si="17"/>
        <v>1</v>
      </c>
    </row>
    <row r="29" spans="1:29" ht="15">
      <c r="A29" s="367"/>
      <c r="B29" s="1066">
        <v>111</v>
      </c>
      <c r="C29" s="373"/>
      <c r="D29" s="374">
        <v>100</v>
      </c>
      <c r="E29" s="1761"/>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2">
        <f t="shared" si="11"/>
        <v>111</v>
      </c>
      <c r="R29" s="667" t="s">
        <v>18</v>
      </c>
      <c r="S29" s="668">
        <f t="shared" si="12"/>
        <v>100</v>
      </c>
      <c r="T29" s="667" t="s">
        <v>18</v>
      </c>
      <c r="U29" s="668">
        <f t="shared" si="13"/>
        <v>100</v>
      </c>
      <c r="V29" s="667" t="s">
        <v>18</v>
      </c>
      <c r="W29" s="668">
        <f t="shared" si="14"/>
        <v>100</v>
      </c>
      <c r="X29" s="1264"/>
      <c r="Y29" s="3371"/>
      <c r="Z29" s="1263">
        <f t="shared" si="18"/>
        <v>111</v>
      </c>
      <c r="AA29" s="1263">
        <f t="shared" si="15"/>
        <v>1</v>
      </c>
      <c r="AB29" s="1263">
        <f t="shared" si="16"/>
        <v>1</v>
      </c>
      <c r="AC29" s="1263">
        <f t="shared" si="17"/>
        <v>1</v>
      </c>
    </row>
    <row r="30" spans="1:29" ht="15">
      <c r="A30" s="367"/>
      <c r="B30" s="1066">
        <v>111</v>
      </c>
      <c r="C30" s="373"/>
      <c r="D30" s="374">
        <v>100</v>
      </c>
      <c r="E30" s="1761"/>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2">
        <f t="shared" si="11"/>
        <v>111</v>
      </c>
      <c r="R30" s="667" t="s">
        <v>18</v>
      </c>
      <c r="S30" s="668">
        <f t="shared" si="12"/>
        <v>100</v>
      </c>
      <c r="T30" s="667" t="s">
        <v>18</v>
      </c>
      <c r="U30" s="668">
        <f t="shared" si="13"/>
        <v>100</v>
      </c>
      <c r="V30" s="667" t="s">
        <v>18</v>
      </c>
      <c r="W30" s="668">
        <f t="shared" si="14"/>
        <v>100</v>
      </c>
      <c r="X30" s="1264"/>
      <c r="Y30" s="3371"/>
      <c r="Z30" s="1263">
        <f t="shared" si="18"/>
        <v>111</v>
      </c>
      <c r="AA30" s="1263">
        <f t="shared" si="15"/>
        <v>1</v>
      </c>
      <c r="AB30" s="1263">
        <f t="shared" si="16"/>
        <v>1</v>
      </c>
      <c r="AC30" s="1263">
        <f t="shared" si="17"/>
        <v>1</v>
      </c>
    </row>
    <row r="31" spans="1:29" ht="15.75" thickBot="1">
      <c r="A31" s="375"/>
      <c r="B31" s="1066">
        <v>111</v>
      </c>
      <c r="C31" s="376"/>
      <c r="D31" s="377">
        <v>100</v>
      </c>
      <c r="E31" s="1762"/>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2">
        <f t="shared" si="11"/>
        <v>111</v>
      </c>
      <c r="R31" s="667" t="s">
        <v>18</v>
      </c>
      <c r="S31" s="668">
        <f t="shared" si="12"/>
        <v>100</v>
      </c>
      <c r="T31" s="667" t="s">
        <v>18</v>
      </c>
      <c r="U31" s="668">
        <f t="shared" si="13"/>
        <v>100</v>
      </c>
      <c r="V31" s="667" t="s">
        <v>18</v>
      </c>
      <c r="W31" s="668">
        <f t="shared" si="14"/>
        <v>100</v>
      </c>
      <c r="X31" s="1264"/>
      <c r="Y31" s="3371"/>
      <c r="Z31" s="1263">
        <f t="shared" si="18"/>
        <v>111</v>
      </c>
      <c r="AA31" s="1263">
        <f t="shared" si="15"/>
        <v>1</v>
      </c>
      <c r="AB31" s="1263">
        <f t="shared" si="16"/>
        <v>1</v>
      </c>
      <c r="AC31" s="1263">
        <f t="shared" si="17"/>
        <v>1</v>
      </c>
    </row>
    <row r="32" spans="1:29" ht="15">
      <c r="A32" s="379" t="s">
        <v>1694</v>
      </c>
      <c r="B32" s="60" t="s">
        <v>1695</v>
      </c>
      <c r="C32" s="1763" t="s">
        <v>3389</v>
      </c>
      <c r="D32" s="405">
        <v>100</v>
      </c>
      <c r="E32" s="1763" t="s">
        <v>3389</v>
      </c>
      <c r="F32" s="400">
        <f>SUMIF(100:100,E32,101:101)-SUMIF(100:100,C32,101:101)+100</f>
        <v>100</v>
      </c>
      <c r="G32" s="1763" t="s">
        <v>3389</v>
      </c>
      <c r="H32" s="405">
        <f>SUMIF(100:100,G32,101:101)-SUMIF(100:100,C32,101:101)+100</f>
        <v>100</v>
      </c>
      <c r="I32" s="1764" t="s">
        <v>3708</v>
      </c>
      <c r="J32" s="374">
        <f>SUMIF(100:100,I32,101:101)-SUMIF(100:100,C32,101:101)+100</f>
        <v>109</v>
      </c>
      <c r="K32" s="365">
        <v>3</v>
      </c>
      <c r="L32" s="2490"/>
      <c r="M32" s="2485"/>
      <c r="N32" s="2485"/>
      <c r="O32" s="2485"/>
      <c r="P32" s="3434" t="s">
        <v>1696</v>
      </c>
      <c r="Q32" s="1262" t="str">
        <f t="shared" si="11"/>
        <v>建筑类型</v>
      </c>
      <c r="R32" s="667" t="s">
        <v>18</v>
      </c>
      <c r="S32" s="668">
        <f t="shared" si="12"/>
        <v>100</v>
      </c>
      <c r="T32" s="667" t="s">
        <v>18</v>
      </c>
      <c r="U32" s="668">
        <f t="shared" si="13"/>
        <v>100</v>
      </c>
      <c r="V32" s="667" t="s">
        <v>18</v>
      </c>
      <c r="W32" s="668">
        <f t="shared" si="14"/>
        <v>109</v>
      </c>
      <c r="X32" s="1264"/>
      <c r="Y32" s="3373" t="s">
        <v>1696</v>
      </c>
      <c r="Z32" s="1263" t="str">
        <f t="shared" si="18"/>
        <v>建筑类型</v>
      </c>
      <c r="AA32" s="1263">
        <f t="shared" si="15"/>
        <v>1</v>
      </c>
      <c r="AB32" s="1263">
        <f t="shared" si="16"/>
        <v>1</v>
      </c>
      <c r="AC32" s="1263">
        <f t="shared" si="17"/>
        <v>0.91743119266055051</v>
      </c>
    </row>
    <row r="33" spans="1:29" s="408" customFormat="1" ht="15">
      <c r="A33" s="406"/>
      <c r="B33" s="364" t="s">
        <v>1697</v>
      </c>
      <c r="C33" s="407">
        <f>测绘面积!C58</f>
        <v>139467.96999999997</v>
      </c>
      <c r="D33" s="119">
        <v>100</v>
      </c>
      <c r="E33" s="368">
        <v>211357.39</v>
      </c>
      <c r="F33" s="364">
        <f>LOOKUP(E33,103:103,104:104)-LOOKUP(C33,103:103,104:104)+100</f>
        <v>101</v>
      </c>
      <c r="G33" s="368">
        <v>240000</v>
      </c>
      <c r="H33" s="119">
        <f>LOOKUP(G33,103:103,104:104)-LOOKUP(C33,103:103,104:104)+100</f>
        <v>101</v>
      </c>
      <c r="I33" s="369">
        <v>273658</v>
      </c>
      <c r="J33" s="119">
        <f>LOOKUP(I33,103:103,104:104)-LOOKUP(C33,103:103,104:104)+100</f>
        <v>101</v>
      </c>
      <c r="K33" s="1747"/>
      <c r="L33" s="2489"/>
      <c r="M33" s="2491"/>
      <c r="N33" s="2491"/>
      <c r="O33" s="2491"/>
      <c r="P33" s="3435"/>
      <c r="Q33" s="531" t="str">
        <f t="shared" si="11"/>
        <v>项目建筑规模</v>
      </c>
      <c r="R33" s="669" t="s">
        <v>18</v>
      </c>
      <c r="S33" s="670">
        <f t="shared" si="12"/>
        <v>101</v>
      </c>
      <c r="T33" s="669" t="s">
        <v>18</v>
      </c>
      <c r="U33" s="670">
        <f t="shared" si="13"/>
        <v>101</v>
      </c>
      <c r="V33" s="669" t="s">
        <v>18</v>
      </c>
      <c r="W33" s="670">
        <f t="shared" si="14"/>
        <v>101</v>
      </c>
      <c r="X33" s="671"/>
      <c r="Y33" s="3373"/>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t="s">
        <v>3700</v>
      </c>
      <c r="D34" s="374">
        <v>100</v>
      </c>
      <c r="E34" s="399" t="s">
        <v>3700</v>
      </c>
      <c r="F34" s="400">
        <f>SUMIF(105:105,E34,106:106)-SUMIF(105:105,C34,106:106)+100</f>
        <v>100</v>
      </c>
      <c r="G34" s="399" t="s">
        <v>3700</v>
      </c>
      <c r="H34" s="374">
        <f>SUMIF(105:105,G34,106:106)-SUMIF(105:105,C34,106:106)+100</f>
        <v>100</v>
      </c>
      <c r="I34" s="1765" t="s">
        <v>3700</v>
      </c>
      <c r="J34" s="374">
        <f>SUMIF(105:105,I34,106:106)-SUMIF(105:105,C34,106:106)+100</f>
        <v>100</v>
      </c>
      <c r="K34" s="365">
        <v>2</v>
      </c>
      <c r="L34" s="2490"/>
      <c r="M34" s="2485"/>
      <c r="N34" s="2485"/>
      <c r="O34" s="2485"/>
      <c r="P34" s="3435"/>
      <c r="Q34" s="1262" t="str">
        <f t="shared" si="11"/>
        <v>建筑结构</v>
      </c>
      <c r="R34" s="667" t="s">
        <v>18</v>
      </c>
      <c r="S34" s="668">
        <f t="shared" si="12"/>
        <v>100</v>
      </c>
      <c r="T34" s="667" t="s">
        <v>18</v>
      </c>
      <c r="U34" s="668">
        <f t="shared" si="13"/>
        <v>100</v>
      </c>
      <c r="V34" s="667" t="s">
        <v>18</v>
      </c>
      <c r="W34" s="668">
        <f t="shared" si="14"/>
        <v>100</v>
      </c>
      <c r="X34" s="1264"/>
      <c r="Y34" s="3373"/>
      <c r="Z34" s="1263" t="str">
        <f t="shared" si="18"/>
        <v>建筑结构</v>
      </c>
      <c r="AA34" s="1263">
        <f t="shared" si="15"/>
        <v>1</v>
      </c>
      <c r="AB34" s="1263">
        <f t="shared" si="16"/>
        <v>1</v>
      </c>
      <c r="AC34" s="1263">
        <f t="shared" si="17"/>
        <v>1</v>
      </c>
    </row>
    <row r="35" spans="1:29" ht="15">
      <c r="A35" s="409"/>
      <c r="B35" s="364" t="s">
        <v>1699</v>
      </c>
      <c r="C35" s="1759" t="s">
        <v>3703</v>
      </c>
      <c r="D35" s="374">
        <v>100</v>
      </c>
      <c r="E35" s="1759" t="s">
        <v>3703</v>
      </c>
      <c r="F35" s="400">
        <f>SUMIF(107:107,E35,108:108)-SUMIF(107:107,C35,108:108)+100</f>
        <v>100</v>
      </c>
      <c r="G35" s="1759" t="s">
        <v>3703</v>
      </c>
      <c r="H35" s="374">
        <f>SUMIF(107:107,G35,108:108)-SUMIF(107:107,C35,108:108)+100</f>
        <v>100</v>
      </c>
      <c r="I35" s="1760" t="s">
        <v>3703</v>
      </c>
      <c r="J35" s="374">
        <f>SUMIF(107:107,I35,108:108)-SUMIF(107:107,C35,108:108)+100</f>
        <v>100</v>
      </c>
      <c r="K35" s="365">
        <v>2</v>
      </c>
      <c r="L35" s="2490"/>
      <c r="M35" s="2485"/>
      <c r="N35" s="2485"/>
      <c r="O35" s="2485"/>
      <c r="P35" s="3435"/>
      <c r="Q35" s="1262" t="str">
        <f t="shared" si="11"/>
        <v>建筑品质</v>
      </c>
      <c r="R35" s="667" t="s">
        <v>18</v>
      </c>
      <c r="S35" s="668">
        <f t="shared" si="12"/>
        <v>100</v>
      </c>
      <c r="T35" s="667" t="s">
        <v>18</v>
      </c>
      <c r="U35" s="668">
        <f t="shared" si="13"/>
        <v>100</v>
      </c>
      <c r="V35" s="667" t="s">
        <v>18</v>
      </c>
      <c r="W35" s="668">
        <f t="shared" si="14"/>
        <v>100</v>
      </c>
      <c r="X35" s="1264"/>
      <c r="Y35" s="3373"/>
      <c r="Z35" s="1263" t="str">
        <f t="shared" si="18"/>
        <v>建筑品质</v>
      </c>
      <c r="AA35" s="1263">
        <f t="shared" si="15"/>
        <v>1</v>
      </c>
      <c r="AB35" s="1263">
        <f t="shared" si="16"/>
        <v>1</v>
      </c>
      <c r="AC35" s="1263">
        <f t="shared" si="17"/>
        <v>1</v>
      </c>
    </row>
    <row r="36" spans="1:29" ht="15">
      <c r="A36" s="409"/>
      <c r="B36" s="364" t="s">
        <v>1700</v>
      </c>
      <c r="C36" s="1759" t="s">
        <v>3704</v>
      </c>
      <c r="D36" s="374">
        <v>100</v>
      </c>
      <c r="E36" s="1759" t="s">
        <v>3704</v>
      </c>
      <c r="F36" s="400">
        <f>SUMIF(109:109,E36,110:110)-SUMIF(109:109,C36,110:110)+100</f>
        <v>100</v>
      </c>
      <c r="G36" s="1759" t="s">
        <v>3704</v>
      </c>
      <c r="H36" s="374">
        <f>SUMIF(109:109,G36,110:110)-SUMIF(109:109,C36,110:110)+100</f>
        <v>100</v>
      </c>
      <c r="I36" s="1760" t="s">
        <v>3704</v>
      </c>
      <c r="J36" s="374">
        <f>SUMIF(109:109,I36,110:110)-SUMIF(109:109,C36,110:110)+100</f>
        <v>100</v>
      </c>
      <c r="K36" s="365">
        <v>2</v>
      </c>
      <c r="L36" s="2490"/>
      <c r="M36" s="2485"/>
      <c r="N36" s="2485"/>
      <c r="O36" s="2485"/>
      <c r="P36" s="3435"/>
      <c r="Q36" s="1262" t="str">
        <f t="shared" si="11"/>
        <v>公共部分装修</v>
      </c>
      <c r="R36" s="667" t="s">
        <v>18</v>
      </c>
      <c r="S36" s="668">
        <f t="shared" si="12"/>
        <v>100</v>
      </c>
      <c r="T36" s="667" t="s">
        <v>18</v>
      </c>
      <c r="U36" s="668">
        <f t="shared" si="13"/>
        <v>100</v>
      </c>
      <c r="V36" s="667" t="s">
        <v>18</v>
      </c>
      <c r="W36" s="668">
        <f t="shared" si="14"/>
        <v>100</v>
      </c>
      <c r="X36" s="1264"/>
      <c r="Y36" s="3373"/>
      <c r="Z36" s="1263" t="str">
        <f t="shared" si="18"/>
        <v>公共部分装修</v>
      </c>
      <c r="AA36" s="1263">
        <f t="shared" si="15"/>
        <v>1</v>
      </c>
      <c r="AB36" s="1263">
        <f t="shared" si="16"/>
        <v>1</v>
      </c>
      <c r="AC36" s="1263">
        <f t="shared" si="17"/>
        <v>1</v>
      </c>
    </row>
    <row r="37" spans="1:29" s="102" customFormat="1" ht="15">
      <c r="A37" s="410"/>
      <c r="B37" s="364" t="s">
        <v>1701</v>
      </c>
      <c r="C37" s="413">
        <v>1</v>
      </c>
      <c r="D37" s="119">
        <v>100</v>
      </c>
      <c r="E37" s="413">
        <v>1</v>
      </c>
      <c r="F37" s="364">
        <f>LOOKUP(E37,112:112,113:113)-LOOKUP(C37,112:112,113:113)+100</f>
        <v>100</v>
      </c>
      <c r="G37" s="413">
        <v>1</v>
      </c>
      <c r="H37" s="119">
        <f>LOOKUP(G37,112:112,113:113)-LOOKUP(C37,112:112,113:113)+100</f>
        <v>100</v>
      </c>
      <c r="I37" s="412">
        <v>1</v>
      </c>
      <c r="J37" s="119">
        <f>LOOKUP(I37,112:112,113:113)-LOOKUP(C37,112:112,113:113)+100</f>
        <v>100</v>
      </c>
      <c r="K37" s="365">
        <v>1</v>
      </c>
      <c r="L37" s="2486"/>
      <c r="M37" s="2437"/>
      <c r="N37" s="2437"/>
      <c r="O37" s="2437"/>
      <c r="P37" s="3435"/>
      <c r="Q37" s="530" t="str">
        <f t="shared" si="11"/>
        <v>成新度</v>
      </c>
      <c r="R37" s="664" t="s">
        <v>18</v>
      </c>
      <c r="S37" s="665">
        <f t="shared" si="12"/>
        <v>100</v>
      </c>
      <c r="T37" s="664" t="s">
        <v>18</v>
      </c>
      <c r="U37" s="665">
        <f t="shared" si="13"/>
        <v>100</v>
      </c>
      <c r="V37" s="664" t="s">
        <v>18</v>
      </c>
      <c r="W37" s="665">
        <f t="shared" si="14"/>
        <v>100</v>
      </c>
      <c r="X37" s="666"/>
      <c r="Y37" s="3373"/>
      <c r="Z37" s="50" t="str">
        <f t="shared" si="18"/>
        <v>成新度</v>
      </c>
      <c r="AA37" s="50">
        <f t="shared" si="15"/>
        <v>1</v>
      </c>
      <c r="AB37" s="50">
        <f t="shared" si="16"/>
        <v>1</v>
      </c>
      <c r="AC37" s="50">
        <f t="shared" si="17"/>
        <v>1</v>
      </c>
    </row>
    <row r="38" spans="1:29" ht="15">
      <c r="A38" s="409"/>
      <c r="B38" s="364" t="s">
        <v>1702</v>
      </c>
      <c r="C38" s="1759" t="s">
        <v>3705</v>
      </c>
      <c r="D38" s="374">
        <v>100</v>
      </c>
      <c r="E38" s="1759" t="s">
        <v>3705</v>
      </c>
      <c r="F38" s="400">
        <f>SUMIF(114:114,E38,115:115)-SUMIF(114:114,C38,115:115)+100</f>
        <v>100</v>
      </c>
      <c r="G38" s="1759" t="s">
        <v>3705</v>
      </c>
      <c r="H38" s="374">
        <f>SUMIF(114:114,G38,115:115)-SUMIF(114:114,C38,115:115)+100</f>
        <v>100</v>
      </c>
      <c r="I38" s="1760" t="s">
        <v>3705</v>
      </c>
      <c r="J38" s="374">
        <f>SUMIF(114:114,I38,115:115)-SUMIF(114:114,C38,115:115)+100</f>
        <v>100</v>
      </c>
      <c r="K38" s="365">
        <v>1</v>
      </c>
      <c r="L38" s="2490"/>
      <c r="M38" s="2485"/>
      <c r="N38" s="2485"/>
      <c r="O38" s="2485"/>
      <c r="P38" s="3435" t="s">
        <v>1696</v>
      </c>
      <c r="Q38" s="1262" t="str">
        <f t="shared" si="11"/>
        <v>物业管理</v>
      </c>
      <c r="R38" s="667" t="s">
        <v>18</v>
      </c>
      <c r="S38" s="668">
        <f t="shared" si="12"/>
        <v>100</v>
      </c>
      <c r="T38" s="667" t="s">
        <v>18</v>
      </c>
      <c r="U38" s="668">
        <f t="shared" si="13"/>
        <v>100</v>
      </c>
      <c r="V38" s="667" t="s">
        <v>18</v>
      </c>
      <c r="W38" s="668">
        <f t="shared" si="14"/>
        <v>100</v>
      </c>
      <c r="X38" s="1264"/>
      <c r="Y38" s="3373" t="s">
        <v>1696</v>
      </c>
      <c r="Z38" s="1263" t="str">
        <f t="shared" si="18"/>
        <v>物业管理</v>
      </c>
      <c r="AA38" s="1263">
        <f t="shared" si="15"/>
        <v>1</v>
      </c>
      <c r="AB38" s="1263">
        <f t="shared" si="16"/>
        <v>1</v>
      </c>
      <c r="AC38" s="1263">
        <f t="shared" si="17"/>
        <v>1</v>
      </c>
    </row>
    <row r="39" spans="1:29" ht="15">
      <c r="A39" s="409"/>
      <c r="B39" s="364" t="s">
        <v>1703</v>
      </c>
      <c r="C39" s="1759" t="s">
        <v>3659</v>
      </c>
      <c r="D39" s="374">
        <v>100</v>
      </c>
      <c r="E39" s="1759" t="s">
        <v>3659</v>
      </c>
      <c r="F39" s="400">
        <f>SUMIF(116:116,E39,117:117)-SUMIF(116:116,C39,117:117)+100</f>
        <v>100</v>
      </c>
      <c r="G39" s="1759" t="s">
        <v>3659</v>
      </c>
      <c r="H39" s="374">
        <f>SUMIF(116:116,G39,117:117)-SUMIF(116:116,C39,117:117)+100</f>
        <v>100</v>
      </c>
      <c r="I39" s="1760" t="s">
        <v>3659</v>
      </c>
      <c r="J39" s="374">
        <f>SUMIF(116:116,I39,117:117)-SUMIF(116:116,C39,117:117)+100</f>
        <v>100</v>
      </c>
      <c r="K39" s="365">
        <v>1</v>
      </c>
      <c r="L39" s="2490"/>
      <c r="M39" s="2485"/>
      <c r="N39" s="2485"/>
      <c r="O39" s="2485"/>
      <c r="P39" s="3435"/>
      <c r="Q39" s="1262" t="str">
        <f t="shared" si="11"/>
        <v>市政基础设施</v>
      </c>
      <c r="R39" s="667" t="s">
        <v>18</v>
      </c>
      <c r="S39" s="668">
        <f t="shared" si="12"/>
        <v>100</v>
      </c>
      <c r="T39" s="667" t="s">
        <v>18</v>
      </c>
      <c r="U39" s="668">
        <f t="shared" si="13"/>
        <v>100</v>
      </c>
      <c r="V39" s="667" t="s">
        <v>18</v>
      </c>
      <c r="W39" s="668">
        <f t="shared" si="14"/>
        <v>100</v>
      </c>
      <c r="X39" s="1264"/>
      <c r="Y39" s="3373"/>
      <c r="Z39" s="1263" t="str">
        <f t="shared" si="18"/>
        <v>市政基础设施</v>
      </c>
      <c r="AA39" s="1263">
        <f t="shared" si="15"/>
        <v>1</v>
      </c>
      <c r="AB39" s="1263">
        <f t="shared" si="16"/>
        <v>1</v>
      </c>
      <c r="AC39" s="1263">
        <f t="shared" si="17"/>
        <v>1</v>
      </c>
    </row>
    <row r="40" spans="1:29" ht="15">
      <c r="A40" s="409"/>
      <c r="B40" s="364" t="s">
        <v>1704</v>
      </c>
      <c r="C40" s="1759"/>
      <c r="D40" s="374">
        <v>100</v>
      </c>
      <c r="E40" s="1759"/>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5"/>
      <c r="Q40" s="1262" t="str">
        <f t="shared" si="11"/>
        <v>房型</v>
      </c>
      <c r="R40" s="667" t="s">
        <v>18</v>
      </c>
      <c r="S40" s="668">
        <f t="shared" si="12"/>
        <v>100</v>
      </c>
      <c r="T40" s="667" t="s">
        <v>18</v>
      </c>
      <c r="U40" s="668">
        <f t="shared" si="13"/>
        <v>100</v>
      </c>
      <c r="V40" s="667" t="s">
        <v>18</v>
      </c>
      <c r="W40" s="668">
        <f t="shared" si="14"/>
        <v>100</v>
      </c>
      <c r="X40" s="1264"/>
      <c r="Y40" s="3373"/>
      <c r="Z40" s="1263" t="str">
        <f t="shared" si="18"/>
        <v>房型</v>
      </c>
      <c r="AA40" s="1263">
        <f t="shared" si="15"/>
        <v>1</v>
      </c>
      <c r="AB40" s="1263">
        <f t="shared" si="16"/>
        <v>1</v>
      </c>
      <c r="AC40" s="1263">
        <f t="shared" si="17"/>
        <v>1</v>
      </c>
    </row>
    <row r="41" spans="1:29" s="408" customFormat="1" ht="28.5">
      <c r="A41" s="406"/>
      <c r="B41" s="364" t="s">
        <v>1705</v>
      </c>
      <c r="C41" s="407"/>
      <c r="D41" s="119">
        <v>100</v>
      </c>
      <c r="E41" s="368"/>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5"/>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3">
        <f t="shared" si="15"/>
        <v>1</v>
      </c>
      <c r="AB41" s="1263">
        <f t="shared" si="16"/>
        <v>1</v>
      </c>
      <c r="AC41" s="1263">
        <f t="shared" si="17"/>
        <v>1</v>
      </c>
    </row>
    <row r="42" spans="1:29" ht="15">
      <c r="A42" s="409"/>
      <c r="B42" s="364" t="s">
        <v>1706</v>
      </c>
      <c r="C42" s="1759" t="s">
        <v>3706</v>
      </c>
      <c r="D42" s="374">
        <v>100</v>
      </c>
      <c r="E42" s="1759" t="s">
        <v>3706</v>
      </c>
      <c r="F42" s="400">
        <f>SUMIF(122:122,E42,123:123)-SUMIF(122:122,C42,123:123)+100</f>
        <v>100</v>
      </c>
      <c r="G42" s="1759" t="s">
        <v>3706</v>
      </c>
      <c r="H42" s="374">
        <f>SUMIF(122:122,G42,123:123)-SUMIF(122:122,C42,123:123)+100</f>
        <v>100</v>
      </c>
      <c r="I42" s="1760" t="s">
        <v>3706</v>
      </c>
      <c r="J42" s="374">
        <f>SUMIF(122:122,I42,123:123)-SUMIF(122:122,C42,123:123)+100</f>
        <v>100</v>
      </c>
      <c r="K42" s="365">
        <v>1</v>
      </c>
      <c r="L42" s="2490"/>
      <c r="M42" s="2485"/>
      <c r="N42" s="2485"/>
      <c r="O42" s="2485"/>
      <c r="P42" s="3435"/>
      <c r="Q42" s="1262" t="str">
        <f t="shared" si="11"/>
        <v>内部装修</v>
      </c>
      <c r="R42" s="667" t="s">
        <v>18</v>
      </c>
      <c r="S42" s="668">
        <f t="shared" si="12"/>
        <v>100</v>
      </c>
      <c r="T42" s="667" t="s">
        <v>18</v>
      </c>
      <c r="U42" s="668">
        <f t="shared" si="13"/>
        <v>100</v>
      </c>
      <c r="V42" s="667" t="s">
        <v>18</v>
      </c>
      <c r="W42" s="668">
        <f t="shared" si="14"/>
        <v>100</v>
      </c>
      <c r="X42" s="1264"/>
      <c r="Y42" s="3373"/>
      <c r="Z42" s="1263" t="str">
        <f t="shared" si="18"/>
        <v>内部装修</v>
      </c>
      <c r="AA42" s="1263">
        <f t="shared" si="15"/>
        <v>1</v>
      </c>
      <c r="AB42" s="1263">
        <f t="shared" si="16"/>
        <v>1</v>
      </c>
      <c r="AC42" s="1263">
        <f t="shared" si="17"/>
        <v>1</v>
      </c>
    </row>
    <row r="43" spans="1:29" ht="15">
      <c r="A43" s="409"/>
      <c r="B43" s="364" t="s">
        <v>1707</v>
      </c>
      <c r="C43" s="1759" t="s">
        <v>3665</v>
      </c>
      <c r="D43" s="374">
        <v>100</v>
      </c>
      <c r="E43" s="1759" t="s">
        <v>3665</v>
      </c>
      <c r="F43" s="400">
        <f>SUMIF(124:124,E43,125:125)-SUMIF(124:124,C43,125:125)+100</f>
        <v>100</v>
      </c>
      <c r="G43" s="1759" t="s">
        <v>3665</v>
      </c>
      <c r="H43" s="374">
        <f>SUMIF(124:124,G43,125:125)-SUMIF(124:124,C43,125:125)+100</f>
        <v>100</v>
      </c>
      <c r="I43" s="1760" t="s">
        <v>3665</v>
      </c>
      <c r="J43" s="374">
        <f>SUMIF(124:124,I43,125:125)-SUMIF(124:124,C43,125:125)+100</f>
        <v>100</v>
      </c>
      <c r="K43" s="365">
        <v>2</v>
      </c>
      <c r="L43" s="2490"/>
      <c r="M43" s="2485"/>
      <c r="N43" s="2485"/>
      <c r="O43" s="2485"/>
      <c r="P43" s="3435"/>
      <c r="Q43" s="1262" t="str">
        <f t="shared" si="11"/>
        <v>内部装修维护情况</v>
      </c>
      <c r="R43" s="667" t="s">
        <v>18</v>
      </c>
      <c r="S43" s="668">
        <f t="shared" si="12"/>
        <v>100</v>
      </c>
      <c r="T43" s="667" t="s">
        <v>18</v>
      </c>
      <c r="U43" s="668">
        <f t="shared" si="13"/>
        <v>100</v>
      </c>
      <c r="V43" s="667" t="s">
        <v>18</v>
      </c>
      <c r="W43" s="668">
        <f t="shared" si="14"/>
        <v>100</v>
      </c>
      <c r="X43" s="1264"/>
      <c r="Y43" s="3373"/>
      <c r="Z43" s="1263" t="str">
        <f t="shared" si="18"/>
        <v>内部装修维护情况</v>
      </c>
      <c r="AA43" s="1263">
        <f t="shared" si="15"/>
        <v>1</v>
      </c>
      <c r="AB43" s="1263">
        <f t="shared" si="16"/>
        <v>1</v>
      </c>
      <c r="AC43" s="1263">
        <f t="shared" si="17"/>
        <v>1</v>
      </c>
    </row>
    <row r="44" spans="1:29" s="102" customFormat="1" ht="25.5">
      <c r="A44" s="410"/>
      <c r="B44" s="1249" t="s">
        <v>3720</v>
      </c>
      <c r="C44" s="407" t="s">
        <v>3707</v>
      </c>
      <c r="D44" s="119">
        <v>100</v>
      </c>
      <c r="E44" s="407" t="s">
        <v>3707</v>
      </c>
      <c r="F44" s="364">
        <f>SUMIF(126:126,E44,127:127)-SUMIF(126:126,C44,127:127)+100</f>
        <v>100</v>
      </c>
      <c r="G44" s="407" t="s">
        <v>3707</v>
      </c>
      <c r="H44" s="119">
        <f>SUMIF(126:126,G44,127:127)-SUMIF(126:126,C44,127:127)+100</f>
        <v>100</v>
      </c>
      <c r="I44" s="407" t="s">
        <v>3707</v>
      </c>
      <c r="J44" s="119">
        <f>SUMIF(126:126,I44,127:127)-SUMIF(126:126,C44,127:127)+100</f>
        <v>100</v>
      </c>
      <c r="K44" s="1747"/>
      <c r="L44" s="2486"/>
      <c r="M44" s="2437"/>
      <c r="N44" s="2437"/>
      <c r="O44" s="2437"/>
      <c r="P44" s="3435"/>
      <c r="Q44" s="530" t="str">
        <f t="shared" si="11"/>
        <v>是否含赠送地下室面积</v>
      </c>
      <c r="R44" s="664" t="s">
        <v>18</v>
      </c>
      <c r="S44" s="665">
        <f t="shared" si="12"/>
        <v>100</v>
      </c>
      <c r="T44" s="664" t="s">
        <v>18</v>
      </c>
      <c r="U44" s="665">
        <f t="shared" si="13"/>
        <v>100</v>
      </c>
      <c r="V44" s="664" t="s">
        <v>18</v>
      </c>
      <c r="W44" s="665">
        <f t="shared" si="14"/>
        <v>100</v>
      </c>
      <c r="X44" s="666"/>
      <c r="Y44" s="3373"/>
      <c r="Z44" s="50" t="str">
        <f t="shared" si="18"/>
        <v>是否含赠送地下室面积</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5"/>
      <c r="Q45" s="1262">
        <f t="shared" si="11"/>
        <v>111</v>
      </c>
      <c r="R45" s="667" t="s">
        <v>18</v>
      </c>
      <c r="S45" s="668">
        <f t="shared" si="12"/>
        <v>100</v>
      </c>
      <c r="T45" s="667" t="s">
        <v>18</v>
      </c>
      <c r="U45" s="668">
        <f t="shared" si="13"/>
        <v>100</v>
      </c>
      <c r="V45" s="667" t="s">
        <v>18</v>
      </c>
      <c r="W45" s="668">
        <f t="shared" si="14"/>
        <v>100</v>
      </c>
      <c r="X45" s="1264"/>
      <c r="Y45" s="337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6"/>
      <c r="Q46" s="1262">
        <f t="shared" si="11"/>
        <v>111</v>
      </c>
      <c r="R46" s="667" t="s">
        <v>17</v>
      </c>
      <c r="S46" s="668">
        <f t="shared" si="12"/>
        <v>100</v>
      </c>
      <c r="T46" s="667" t="s">
        <v>17</v>
      </c>
      <c r="U46" s="668">
        <f t="shared" si="13"/>
        <v>100</v>
      </c>
      <c r="V46" s="667" t="s">
        <v>17</v>
      </c>
      <c r="W46" s="668">
        <f t="shared" si="14"/>
        <v>100</v>
      </c>
      <c r="X46" s="1264"/>
      <c r="Y46" s="3437"/>
      <c r="Z46" s="1263">
        <f t="shared" si="18"/>
        <v>111</v>
      </c>
      <c r="AA46" s="1263">
        <f t="shared" si="15"/>
        <v>1</v>
      </c>
      <c r="AB46" s="1263">
        <f t="shared" si="16"/>
        <v>1</v>
      </c>
      <c r="AC46" s="1263">
        <f t="shared" si="17"/>
        <v>1</v>
      </c>
    </row>
    <row r="47" spans="1:29" ht="15">
      <c r="A47" s="416" t="s">
        <v>1708</v>
      </c>
      <c r="B47" s="417"/>
      <c r="C47" s="1080" t="s">
        <v>16</v>
      </c>
      <c r="D47" s="418"/>
      <c r="E47" s="421">
        <v>40537</v>
      </c>
      <c r="F47" s="420"/>
      <c r="G47" s="421">
        <v>41371</v>
      </c>
      <c r="H47" s="422"/>
      <c r="I47" s="419">
        <v>40216</v>
      </c>
      <c r="J47" s="422"/>
      <c r="K47" s="1766"/>
      <c r="L47" s="2492"/>
      <c r="M47" s="2485"/>
      <c r="N47" s="2485"/>
      <c r="O47" s="2485"/>
      <c r="P47" s="3369" t="str">
        <f>A47</f>
        <v>成交单价（元/平方米）</v>
      </c>
      <c r="Q47" s="3369"/>
      <c r="R47" s="3374">
        <f>E47</f>
        <v>40537</v>
      </c>
      <c r="S47" s="3374"/>
      <c r="T47" s="3374">
        <f>G47</f>
        <v>41371</v>
      </c>
      <c r="U47" s="3374"/>
      <c r="V47" s="3374">
        <f>I47</f>
        <v>40216</v>
      </c>
      <c r="W47" s="3374"/>
      <c r="X47" s="385"/>
      <c r="Y47" s="673"/>
      <c r="Z47" s="385"/>
      <c r="AA47" s="385"/>
      <c r="AB47" s="385"/>
      <c r="AC47" s="385"/>
    </row>
    <row r="48" spans="1:29" ht="15.75" thickBot="1">
      <c r="A48" s="423" t="s">
        <v>1709</v>
      </c>
      <c r="B48" s="424"/>
      <c r="C48" s="1081">
        <f>R49</f>
        <v>37960</v>
      </c>
      <c r="D48" s="2140" t="s">
        <v>2134</v>
      </c>
      <c r="E48" s="1082">
        <f>R48</f>
        <v>39811</v>
      </c>
      <c r="F48" s="2141"/>
      <c r="G48" s="1081">
        <f>T48</f>
        <v>40630</v>
      </c>
      <c r="H48" s="2141"/>
      <c r="I48" s="1082">
        <f>V48</f>
        <v>33440</v>
      </c>
      <c r="J48" s="2141"/>
      <c r="K48" s="2142">
        <f>F48+H48+J48</f>
        <v>0</v>
      </c>
      <c r="L48" s="2492"/>
      <c r="M48" s="2485"/>
      <c r="N48" s="2485"/>
      <c r="O48" s="2485"/>
      <c r="P48" s="3369" t="str">
        <f>A48</f>
        <v>比较价值（元/平方米）</v>
      </c>
      <c r="Q48" s="3369"/>
      <c r="R48" s="3374">
        <f>IF(F1="售价",ROUND(PRODUCT(R47,AA7:AA46),0),ROUND(PRODUCT(R47,AA7:AA46),1))</f>
        <v>39811</v>
      </c>
      <c r="S48" s="3374"/>
      <c r="T48" s="3374">
        <f>IF(F1="售价",ROUND(PRODUCT(T47,AB7:AB46),0),ROUND(PRODUCT(T47,AB7:AB46),1))</f>
        <v>40630</v>
      </c>
      <c r="U48" s="3374"/>
      <c r="V48" s="3374">
        <f>IF(F1="售价",ROUND(PRODUCT(V47,AC7:AC46),0),ROUND(PRODUCT(V47,AC7:AC46),1))</f>
        <v>33440</v>
      </c>
      <c r="W48" s="3374"/>
      <c r="X48" s="385"/>
      <c r="Y48" s="385"/>
      <c r="Z48" s="385"/>
      <c r="AA48" s="385"/>
      <c r="AB48" s="385"/>
      <c r="AC48" s="385"/>
    </row>
    <row r="49" spans="1:29" ht="15.75" thickBot="1">
      <c r="A49" s="427" t="s">
        <v>1710</v>
      </c>
      <c r="B49" s="428"/>
      <c r="C49" s="1083">
        <f>R49</f>
        <v>37960</v>
      </c>
      <c r="D49" s="351"/>
      <c r="E49" s="351"/>
      <c r="F49" s="351"/>
      <c r="G49" s="351"/>
      <c r="H49" s="351"/>
      <c r="I49" s="351"/>
      <c r="J49" s="351"/>
      <c r="K49" s="1767"/>
      <c r="L49" s="2492"/>
      <c r="M49" s="2485"/>
      <c r="N49" s="2485"/>
      <c r="O49" s="2485"/>
      <c r="P49" s="3363" t="str">
        <f>A49</f>
        <v>估价对象XX用房的比较价值（楼面单价，元/平方米）</v>
      </c>
      <c r="Q49" s="3364"/>
      <c r="R49" s="3433">
        <f>IF(F1="售价",ROUND(IF(D48="简单平均",AVERAGE(R48:V48),R48*F48+T48*H48+V48*J48),0),ROUND(IF(D48="简单平均",AVERAGE(R48:V48),R48*F48+T48*H48+V48*J48),1))</f>
        <v>37960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1.8236165883801059E-2</v>
      </c>
      <c r="F52" s="435" t="str">
        <f>IF(OR(E52&gt;=0.3,E52&lt;=-0.3),"超过30%","")</f>
        <v/>
      </c>
      <c r="G52" s="434">
        <f>IF(G47&lt;G48,G48/G47-1,G47/G48-1)</f>
        <v>1.823775535318739E-2</v>
      </c>
      <c r="H52" s="435" t="str">
        <f>IF(OR(G52&gt;=0.3,G52&lt;=-0.3),"超过30%","")</f>
        <v/>
      </c>
      <c r="I52" s="434">
        <f>IF(I47&lt;I48,I48/I47-1,I47/I48-1)</f>
        <v>0.2026315789473685</v>
      </c>
      <c r="J52" s="435" t="str">
        <f>IF(OR(I52&gt;=0.3,I52&lt;=-0.3),"超过30%","")</f>
        <v/>
      </c>
      <c r="K52" s="2497"/>
      <c r="L52" s="2493"/>
      <c r="M52" s="2485"/>
      <c r="N52" s="2485"/>
      <c r="O52" s="2485"/>
    </row>
    <row r="53" spans="1:29" ht="13.5" customHeight="1">
      <c r="A53" s="2485"/>
      <c r="B53" s="2485"/>
      <c r="C53" s="432" t="s">
        <v>1712</v>
      </c>
      <c r="D53" s="436"/>
      <c r="E53" s="434">
        <f>IF(E48&lt;G48,G48/E48-1,E48/G48-1)</f>
        <v>2.0572203662304389E-2</v>
      </c>
      <c r="F53" s="435" t="str">
        <f>IF(OR(E53&gt;=0.2,E53&lt;=-0.2),"超过20%","")</f>
        <v/>
      </c>
      <c r="G53" s="434">
        <f>IF(G48&lt;I48,I48/G48-1,G48/I48-1)</f>
        <v>0.21501196172248793</v>
      </c>
      <c r="H53" s="435" t="str">
        <f>IF(OR(G53&gt;=0.2,G53&lt;=-0.2),"超过20%","")</f>
        <v>超过20%</v>
      </c>
      <c r="I53" s="434">
        <f>IF(I48&lt;E48,E48/I48-1,I48/E48-1)</f>
        <v>0.19052033492822962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2.0573796778251996E-2</v>
      </c>
      <c r="F54" s="435" t="str">
        <f>IF(OR(E54&gt;=0.3,E54&lt;=-0.3),"超过30%","")</f>
        <v/>
      </c>
      <c r="G54" s="434">
        <f>IF(G47&lt;I47,I47/G47-1,G47/I47-1)</f>
        <v>2.8719912472647602E-2</v>
      </c>
      <c r="H54" s="435" t="str">
        <f>IF(OR(G54&gt;=0.3,G54&lt;=-0.3),"超过30%","")</f>
        <v/>
      </c>
      <c r="I54" s="434">
        <f>IF(I47&lt;E47,E47/I47-1,I47/E47-1)</f>
        <v>7.9818977521384227E-3</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v>100</v>
      </c>
      <c r="E59" s="446">
        <v>100</v>
      </c>
      <c r="F59" s="446">
        <v>100</v>
      </c>
      <c r="G59" s="446">
        <v>100</v>
      </c>
      <c r="H59" s="446">
        <v>100</v>
      </c>
      <c r="I59" s="446">
        <v>100</v>
      </c>
      <c r="J59" s="446">
        <v>100</v>
      </c>
      <c r="K59" s="446">
        <v>100</v>
      </c>
      <c r="L59" s="446">
        <v>100</v>
      </c>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t="s">
        <v>3681</v>
      </c>
      <c r="D65" s="513" t="s">
        <v>3680</v>
      </c>
      <c r="E65" s="513" t="s">
        <v>3682</v>
      </c>
      <c r="F65" s="513" t="s">
        <v>3683</v>
      </c>
      <c r="G65" s="513" t="s">
        <v>3684</v>
      </c>
      <c r="H65" s="513" t="s">
        <v>3685</v>
      </c>
      <c r="I65" s="513" t="s">
        <v>3686</v>
      </c>
      <c r="J65" s="513"/>
      <c r="K65" s="513"/>
      <c r="L65" s="513"/>
      <c r="M65" s="513"/>
      <c r="N65" s="880"/>
      <c r="O65" s="880"/>
      <c r="P65" s="1774"/>
      <c r="Q65" s="439"/>
    </row>
    <row r="66" spans="1:17" ht="15.75" thickBot="1">
      <c r="A66" s="367"/>
      <c r="B66" s="474"/>
      <c r="C66" s="467">
        <v>100</v>
      </c>
      <c r="D66" s="467">
        <v>99</v>
      </c>
      <c r="E66" s="467">
        <v>98</v>
      </c>
      <c r="F66" s="467">
        <v>97</v>
      </c>
      <c r="G66" s="467">
        <v>96</v>
      </c>
      <c r="H66" s="467">
        <v>95</v>
      </c>
      <c r="I66" s="467">
        <v>94</v>
      </c>
      <c r="J66" s="467"/>
      <c r="K66" s="467"/>
      <c r="L66" s="467"/>
      <c r="M66" s="468"/>
      <c r="N66" s="880"/>
      <c r="O66" s="880"/>
      <c r="P66" s="1774"/>
      <c r="Q66" s="439"/>
    </row>
    <row r="67" spans="1:17" ht="15.7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f>C68+0.5</f>
        <v>0.5</v>
      </c>
      <c r="E68" s="480">
        <f t="shared" ref="E68:H68" si="21">D68+0.5</f>
        <v>1</v>
      </c>
      <c r="F68" s="480">
        <f t="shared" si="21"/>
        <v>1.5</v>
      </c>
      <c r="G68" s="480">
        <f t="shared" si="21"/>
        <v>2</v>
      </c>
      <c r="H68" s="480">
        <f t="shared" si="21"/>
        <v>2.5</v>
      </c>
      <c r="I68" s="480">
        <f>H68+0.5</f>
        <v>3</v>
      </c>
      <c r="J68" s="480"/>
      <c r="K68" s="481"/>
      <c r="L68" s="482"/>
      <c r="M68" s="483"/>
      <c r="N68" s="879"/>
      <c r="O68" s="879"/>
      <c r="P68" s="1774"/>
      <c r="Q68" s="439"/>
    </row>
    <row r="69" spans="1:17" ht="15.75" thickBot="1">
      <c r="A69" s="367"/>
      <c r="B69" s="466"/>
      <c r="C69" s="475">
        <v>100</v>
      </c>
      <c r="D69" s="475">
        <f t="shared" ref="D69:M69" si="22">C69-$K11</f>
        <v>95</v>
      </c>
      <c r="E69" s="475">
        <f t="shared" si="22"/>
        <v>90</v>
      </c>
      <c r="F69" s="475">
        <f t="shared" si="22"/>
        <v>85</v>
      </c>
      <c r="G69" s="475">
        <f t="shared" si="22"/>
        <v>80</v>
      </c>
      <c r="H69" s="475">
        <f t="shared" si="22"/>
        <v>75</v>
      </c>
      <c r="I69" s="475">
        <f t="shared" si="22"/>
        <v>70</v>
      </c>
      <c r="J69" s="475">
        <f t="shared" si="22"/>
        <v>65</v>
      </c>
      <c r="K69" s="475">
        <f t="shared" si="22"/>
        <v>60</v>
      </c>
      <c r="L69" s="475">
        <f t="shared" si="22"/>
        <v>55</v>
      </c>
      <c r="M69" s="476">
        <f t="shared" si="22"/>
        <v>50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940" t="s">
        <v>3708</v>
      </c>
      <c r="D100" s="941" t="s">
        <v>3390</v>
      </c>
      <c r="E100" s="941" t="s">
        <v>3391</v>
      </c>
      <c r="F100" s="1226" t="s">
        <v>3389</v>
      </c>
      <c r="G100" s="1226" t="s">
        <v>3714</v>
      </c>
      <c r="H100" s="462"/>
      <c r="I100" s="462"/>
      <c r="J100" s="462"/>
      <c r="K100" s="463"/>
      <c r="L100" s="464"/>
      <c r="M100" s="465"/>
      <c r="N100" s="879"/>
      <c r="O100" s="879"/>
      <c r="P100" s="1774"/>
      <c r="Q100" s="439"/>
    </row>
    <row r="101" spans="1:17" ht="15.75" thickBot="1">
      <c r="A101" s="367"/>
      <c r="B101" s="474"/>
      <c r="C101" s="475">
        <v>100</v>
      </c>
      <c r="D101" s="475">
        <f t="shared" ref="D101:M101" si="26">C101-$K32</f>
        <v>97</v>
      </c>
      <c r="E101" s="475">
        <f t="shared" si="26"/>
        <v>94</v>
      </c>
      <c r="F101" s="475">
        <f t="shared" si="26"/>
        <v>91</v>
      </c>
      <c r="G101" s="475">
        <f t="shared" si="26"/>
        <v>88</v>
      </c>
      <c r="H101" s="475">
        <f t="shared" si="26"/>
        <v>85</v>
      </c>
      <c r="I101" s="475">
        <f t="shared" si="26"/>
        <v>82</v>
      </c>
      <c r="J101" s="475">
        <f t="shared" si="26"/>
        <v>79</v>
      </c>
      <c r="K101" s="475">
        <f t="shared" si="26"/>
        <v>76</v>
      </c>
      <c r="L101" s="475">
        <f t="shared" si="26"/>
        <v>73</v>
      </c>
      <c r="M101" s="475">
        <f t="shared" si="26"/>
        <v>70</v>
      </c>
      <c r="N101" s="880"/>
      <c r="O101" s="880"/>
      <c r="P101" s="1774"/>
      <c r="Q101" s="439"/>
    </row>
    <row r="102" spans="1:17" ht="29.25" thickTop="1">
      <c r="A102" s="367"/>
      <c r="B102" s="469" t="s">
        <v>1737</v>
      </c>
      <c r="C102" s="509" t="str">
        <f>C103&amp;"(含)"&amp;"-"&amp;D103</f>
        <v>0(含)-100000</v>
      </c>
      <c r="D102" s="509" t="str">
        <f t="shared" ref="D102:L102" si="27">D103&amp;"(含)"&amp;"-"&amp;E103</f>
        <v>100000(含)-200000</v>
      </c>
      <c r="E102" s="509" t="str">
        <f t="shared" si="27"/>
        <v>200000(含)-300000</v>
      </c>
      <c r="F102" s="509" t="str">
        <f t="shared" si="27"/>
        <v>300000(含)-400000</v>
      </c>
      <c r="G102" s="509" t="str">
        <f t="shared" si="27"/>
        <v>400000(含)-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4"/>
      <c r="Q102" s="439"/>
    </row>
    <row r="103" spans="1:17" s="408" customFormat="1">
      <c r="A103" s="406"/>
      <c r="B103" s="523"/>
      <c r="C103" s="6">
        <v>0</v>
      </c>
      <c r="D103" s="6">
        <f>C103+100000</f>
        <v>100000</v>
      </c>
      <c r="E103" s="6">
        <f t="shared" ref="E103:G103" si="28">D103+100000</f>
        <v>200000</v>
      </c>
      <c r="F103" s="6">
        <f t="shared" si="28"/>
        <v>300000</v>
      </c>
      <c r="G103" s="6">
        <f t="shared" si="28"/>
        <v>400000</v>
      </c>
      <c r="H103" s="6"/>
      <c r="I103" s="6"/>
      <c r="J103" s="524"/>
      <c r="K103" s="524"/>
      <c r="L103" s="525"/>
      <c r="M103" s="526"/>
      <c r="N103" s="881"/>
      <c r="O103" s="881"/>
      <c r="P103" s="1775"/>
      <c r="Q103" s="490"/>
    </row>
    <row r="104" spans="1:17" s="408" customFormat="1" ht="15.75" thickBot="1">
      <c r="A104" s="484"/>
      <c r="B104" s="474"/>
      <c r="C104" s="491">
        <v>100</v>
      </c>
      <c r="D104" s="467">
        <f>C104+1</f>
        <v>101</v>
      </c>
      <c r="E104" s="467">
        <f t="shared" ref="E104:G104" si="29">D104+1</f>
        <v>102</v>
      </c>
      <c r="F104" s="467">
        <f t="shared" si="29"/>
        <v>103</v>
      </c>
      <c r="G104" s="467">
        <f t="shared" si="29"/>
        <v>104</v>
      </c>
      <c r="H104" s="467"/>
      <c r="I104" s="467"/>
      <c r="J104" s="467"/>
      <c r="K104" s="467"/>
      <c r="L104" s="467"/>
      <c r="M104" s="467"/>
      <c r="N104" s="880"/>
      <c r="O104" s="880"/>
      <c r="P104" s="1775"/>
      <c r="Q104" s="490"/>
    </row>
    <row r="105" spans="1:17" ht="15" thickTop="1">
      <c r="A105" s="409"/>
      <c r="B105" s="469" t="s">
        <v>1738</v>
      </c>
      <c r="C105" s="3168" t="s">
        <v>3688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5">
        <f t="shared" si="30"/>
        <v>80</v>
      </c>
      <c r="N106" s="880"/>
      <c r="O106" s="880"/>
      <c r="P106" s="1774"/>
      <c r="Q106" s="439"/>
    </row>
    <row r="107" spans="1:17" ht="15" thickTop="1">
      <c r="A107" s="409"/>
      <c r="B107" s="469" t="s">
        <v>1739</v>
      </c>
      <c r="C107" s="3165" t="s">
        <v>3689</v>
      </c>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5">
        <f t="shared" si="31"/>
        <v>80</v>
      </c>
      <c r="N108" s="880"/>
      <c r="O108" s="880"/>
      <c r="P108" s="1774"/>
      <c r="Q108" s="439"/>
    </row>
    <row r="109" spans="1:17" ht="15" thickTop="1">
      <c r="A109" s="409"/>
      <c r="B109" s="469" t="s">
        <v>1740</v>
      </c>
      <c r="C109" s="3168" t="s">
        <v>3690</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2">C110-$K36</f>
        <v>98</v>
      </c>
      <c r="E110" s="475">
        <f t="shared" si="32"/>
        <v>96</v>
      </c>
      <c r="F110" s="475">
        <f t="shared" si="32"/>
        <v>94</v>
      </c>
      <c r="G110" s="475">
        <f t="shared" si="32"/>
        <v>92</v>
      </c>
      <c r="H110" s="475">
        <f t="shared" si="32"/>
        <v>90</v>
      </c>
      <c r="I110" s="475">
        <f t="shared" si="32"/>
        <v>88</v>
      </c>
      <c r="J110" s="475">
        <f t="shared" si="32"/>
        <v>86</v>
      </c>
      <c r="K110" s="475">
        <f t="shared" si="32"/>
        <v>84</v>
      </c>
      <c r="L110" s="475">
        <f t="shared" si="32"/>
        <v>82</v>
      </c>
      <c r="M110" s="475">
        <f t="shared" si="32"/>
        <v>80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5"/>
      <c r="Q113" s="490"/>
    </row>
    <row r="114" spans="1:17" ht="15" thickTop="1">
      <c r="A114" s="409"/>
      <c r="B114" s="469" t="s">
        <v>1741</v>
      </c>
      <c r="C114" s="3168" t="s">
        <v>3691</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3">C115-$K38</f>
        <v>99</v>
      </c>
      <c r="E115" s="475">
        <f t="shared" si="33"/>
        <v>98</v>
      </c>
      <c r="F115" s="475">
        <f t="shared" si="33"/>
        <v>97</v>
      </c>
      <c r="G115" s="475">
        <f t="shared" si="33"/>
        <v>96</v>
      </c>
      <c r="H115" s="475">
        <f t="shared" si="33"/>
        <v>95</v>
      </c>
      <c r="I115" s="475">
        <f t="shared" si="33"/>
        <v>94</v>
      </c>
      <c r="J115" s="475">
        <f t="shared" si="33"/>
        <v>93</v>
      </c>
      <c r="K115" s="475">
        <f t="shared" si="33"/>
        <v>92</v>
      </c>
      <c r="L115" s="475">
        <f t="shared" si="33"/>
        <v>91</v>
      </c>
      <c r="M115" s="475">
        <f t="shared" si="33"/>
        <v>90</v>
      </c>
      <c r="N115" s="880"/>
      <c r="O115" s="880"/>
      <c r="P115" s="1774"/>
      <c r="Q115" s="439"/>
    </row>
    <row r="116" spans="1:17" ht="15" thickTop="1">
      <c r="A116" s="409"/>
      <c r="B116" s="469" t="s">
        <v>1742</v>
      </c>
      <c r="C116" s="3168" t="s">
        <v>3669</v>
      </c>
      <c r="D116" s="3168" t="s">
        <v>3692</v>
      </c>
      <c r="E116" s="3168" t="s">
        <v>3693</v>
      </c>
      <c r="F116" s="485"/>
      <c r="G116" s="485"/>
      <c r="H116" s="513"/>
      <c r="I116" s="513"/>
      <c r="J116" s="513"/>
      <c r="K116" s="514"/>
      <c r="L116" s="515"/>
      <c r="M116" s="516"/>
      <c r="N116" s="879"/>
      <c r="O116" s="879"/>
      <c r="P116" s="1774"/>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1743</v>
      </c>
      <c r="C118" s="513" t="s">
        <v>3709</v>
      </c>
      <c r="D118" s="3165" t="s">
        <v>3710</v>
      </c>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68" t="s">
        <v>3694</v>
      </c>
      <c r="D122" s="3168" t="s">
        <v>3695</v>
      </c>
      <c r="E122" s="3168" t="s">
        <v>3696</v>
      </c>
      <c r="F122" s="3165" t="s">
        <v>3697</v>
      </c>
      <c r="G122" s="513"/>
      <c r="H122" s="513"/>
      <c r="I122" s="513"/>
      <c r="J122" s="513"/>
      <c r="K122" s="514"/>
      <c r="L122" s="515"/>
      <c r="M122" s="516"/>
      <c r="N122" s="879"/>
      <c r="O122" s="879"/>
      <c r="P122" s="1774"/>
      <c r="Q122" s="439"/>
    </row>
    <row r="123" spans="1:17" ht="15.75" thickBot="1">
      <c r="A123" s="367"/>
      <c r="B123" s="474"/>
      <c r="C123" s="475">
        <v>100</v>
      </c>
      <c r="D123" s="475">
        <f t="shared" ref="D123:M123" si="35">C123-$K42</f>
        <v>99</v>
      </c>
      <c r="E123" s="475">
        <f t="shared" si="35"/>
        <v>98</v>
      </c>
      <c r="F123" s="475">
        <f t="shared" si="35"/>
        <v>97</v>
      </c>
      <c r="G123" s="475">
        <f t="shared" si="35"/>
        <v>96</v>
      </c>
      <c r="H123" s="475">
        <f t="shared" si="35"/>
        <v>95</v>
      </c>
      <c r="I123" s="475">
        <f t="shared" si="35"/>
        <v>94</v>
      </c>
      <c r="J123" s="475">
        <f t="shared" si="35"/>
        <v>93</v>
      </c>
      <c r="K123" s="475">
        <f t="shared" si="35"/>
        <v>92</v>
      </c>
      <c r="L123" s="475">
        <f t="shared" si="35"/>
        <v>91</v>
      </c>
      <c r="M123" s="475">
        <f t="shared" si="35"/>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29.25" thickTop="1">
      <c r="A126" s="406"/>
      <c r="B126" s="469" t="str">
        <f>B44</f>
        <v>是否含赠送地下室面积</v>
      </c>
      <c r="C126" s="3168" t="s">
        <v>3711</v>
      </c>
      <c r="D126" s="3168" t="s">
        <v>3712</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105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受贵公司委托，我公司对北京市昌平区南金路7号院出让国有建设用地使用权及在建建筑物房地产抵押价值进行了预评估。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金路7号院出让国有建设用地使用权及在建建筑物房地产，为所有。根据《国有土地使用证》[]，估价对象（分摊）出让国有建设用地使用权面积为123131.88平方米，建筑面积为139467.97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2024年10月31日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本次评估采用的主估价方法为成本法和假设开发法。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20" sqref="G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139467.97</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4"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4"/>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4"/>
      <c r="AC6" s="3377"/>
    </row>
    <row r="7" spans="1:29" s="102" customFormat="1" ht="15.75" thickBot="1">
      <c r="A7" s="352" t="s">
        <v>1679</v>
      </c>
      <c r="B7" s="353"/>
      <c r="C7" s="354">
        <f>'数据-取费表'!B2</f>
        <v>45596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8"/>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68"/>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8"/>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2" t="str">
        <f t="shared" si="6"/>
        <v>商业繁华度</v>
      </c>
      <c r="R15" s="667" t="s">
        <v>14</v>
      </c>
      <c r="S15" s="668">
        <f t="shared" si="0"/>
        <v>100</v>
      </c>
      <c r="T15" s="667" t="s">
        <v>14</v>
      </c>
      <c r="U15" s="668">
        <f t="shared" si="1"/>
        <v>100</v>
      </c>
      <c r="V15" s="667" t="s">
        <v>14</v>
      </c>
      <c r="W15" s="668">
        <f t="shared" si="2"/>
        <v>100</v>
      </c>
      <c r="X15" s="1264"/>
      <c r="Y15" s="337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39"/>
      <c r="Q16" s="1262"/>
      <c r="R16" s="667"/>
      <c r="S16" s="668"/>
      <c r="T16" s="667"/>
      <c r="U16" s="668"/>
      <c r="V16" s="667"/>
      <c r="W16" s="668"/>
      <c r="X16" s="1264"/>
      <c r="Y16" s="3371"/>
      <c r="Z16" s="1263"/>
      <c r="AA16" s="1263">
        <v>1</v>
      </c>
      <c r="AB16" s="1263">
        <v>1</v>
      </c>
      <c r="AC16" s="1263">
        <v>1</v>
      </c>
    </row>
    <row r="17" spans="1:29" ht="15">
      <c r="A17" s="367"/>
      <c r="B17" s="390" t="s">
        <v>1259</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39"/>
      <c r="Q18" s="1262"/>
      <c r="R18" s="667"/>
      <c r="S18" s="668"/>
      <c r="T18" s="667"/>
      <c r="U18" s="668"/>
      <c r="V18" s="667"/>
      <c r="W18" s="668"/>
      <c r="X18" s="1264"/>
      <c r="Y18" s="3371"/>
      <c r="Z18" s="1263"/>
      <c r="AA18" s="1263">
        <v>1</v>
      </c>
      <c r="AB18" s="1263">
        <v>1</v>
      </c>
      <c r="AC18" s="1263">
        <v>1</v>
      </c>
    </row>
    <row r="19" spans="1:29" ht="15">
      <c r="A19" s="367"/>
      <c r="B19" s="390" t="s">
        <v>1778</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39"/>
      <c r="Q20" s="1262"/>
      <c r="R20" s="667"/>
      <c r="S20" s="668"/>
      <c r="T20" s="667"/>
      <c r="U20" s="668"/>
      <c r="V20" s="667"/>
      <c r="W20" s="668"/>
      <c r="X20" s="1264"/>
      <c r="Y20" s="3371"/>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39"/>
      <c r="Q22" s="1262"/>
      <c r="R22" s="667"/>
      <c r="S22" s="668"/>
      <c r="T22" s="667"/>
      <c r="U22" s="668"/>
      <c r="V22" s="667"/>
      <c r="W22" s="668"/>
      <c r="X22" s="1264"/>
      <c r="Y22" s="3371"/>
      <c r="Z22" s="1263"/>
      <c r="AA22" s="1263">
        <v>1</v>
      </c>
      <c r="AB22" s="1263">
        <v>1</v>
      </c>
      <c r="AC22" s="1263">
        <v>1</v>
      </c>
    </row>
    <row r="23" spans="1:29" ht="15">
      <c r="A23" s="367"/>
      <c r="B23" s="390" t="s">
        <v>1261</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2" t="str">
        <f>B23</f>
        <v>自然及人文环境</v>
      </c>
      <c r="R23" s="667" t="s">
        <v>14</v>
      </c>
      <c r="S23" s="668">
        <f>F23</f>
        <v>100</v>
      </c>
      <c r="T23" s="667" t="s">
        <v>14</v>
      </c>
      <c r="U23" s="668">
        <f>H23</f>
        <v>100</v>
      </c>
      <c r="V23" s="667" t="s">
        <v>14</v>
      </c>
      <c r="W23" s="668">
        <f>J23</f>
        <v>100</v>
      </c>
      <c r="X23" s="1264"/>
      <c r="Y23" s="337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39"/>
      <c r="Q24" s="1262"/>
      <c r="R24" s="667"/>
      <c r="S24" s="668"/>
      <c r="T24" s="667"/>
      <c r="U24" s="668"/>
      <c r="V24" s="667"/>
      <c r="W24" s="668"/>
      <c r="X24" s="1264"/>
      <c r="Y24" s="337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2" t="str">
        <f t="shared" ref="Q25:Q46" si="11">B25</f>
        <v>临街状况</v>
      </c>
      <c r="R25" s="667" t="s">
        <v>14</v>
      </c>
      <c r="S25" s="668">
        <f>F25</f>
        <v>100</v>
      </c>
      <c r="T25" s="667" t="s">
        <v>14</v>
      </c>
      <c r="U25" s="668">
        <f>H25</f>
        <v>100</v>
      </c>
      <c r="V25" s="667" t="s">
        <v>14</v>
      </c>
      <c r="W25" s="668">
        <f>J25</f>
        <v>100</v>
      </c>
      <c r="X25" s="1264"/>
      <c r="Y25" s="337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2" t="str">
        <f t="shared" si="11"/>
        <v>平面位置/可视性</v>
      </c>
      <c r="R26" s="667" t="s">
        <v>14</v>
      </c>
      <c r="S26" s="668">
        <f>F26</f>
        <v>100</v>
      </c>
      <c r="T26" s="667" t="s">
        <v>14</v>
      </c>
      <c r="U26" s="668">
        <f>H26</f>
        <v>100</v>
      </c>
      <c r="V26" s="667" t="s">
        <v>14</v>
      </c>
      <c r="W26" s="668">
        <f>J26</f>
        <v>100</v>
      </c>
      <c r="X26" s="1264"/>
      <c r="Y26" s="337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37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2">
        <f t="shared" si="11"/>
        <v>111</v>
      </c>
      <c r="R29" s="667" t="s">
        <v>14</v>
      </c>
      <c r="S29" s="668">
        <f t="shared" si="12"/>
        <v>100</v>
      </c>
      <c r="T29" s="667" t="s">
        <v>14</v>
      </c>
      <c r="U29" s="668">
        <f t="shared" si="13"/>
        <v>100</v>
      </c>
      <c r="V29" s="667" t="s">
        <v>14</v>
      </c>
      <c r="W29" s="668">
        <f t="shared" si="14"/>
        <v>100</v>
      </c>
      <c r="X29" s="1264"/>
      <c r="Y29" s="337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4" t="s">
        <v>1696</v>
      </c>
      <c r="Q32" s="1262" t="str">
        <f t="shared" si="11"/>
        <v>商业类型</v>
      </c>
      <c r="R32" s="667" t="s">
        <v>14</v>
      </c>
      <c r="S32" s="668">
        <f t="shared" si="12"/>
        <v>100</v>
      </c>
      <c r="T32" s="667" t="s">
        <v>14</v>
      </c>
      <c r="U32" s="668">
        <f t="shared" si="13"/>
        <v>100</v>
      </c>
      <c r="V32" s="667" t="s">
        <v>14</v>
      </c>
      <c r="W32" s="668">
        <f t="shared" si="14"/>
        <v>100</v>
      </c>
      <c r="X32" s="1264"/>
      <c r="Y32" s="337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5"/>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5"/>
      <c r="Q34" s="1262" t="str">
        <f t="shared" si="11"/>
        <v>建筑结构</v>
      </c>
      <c r="R34" s="667" t="s">
        <v>14</v>
      </c>
      <c r="S34" s="668">
        <f t="shared" si="12"/>
        <v>100</v>
      </c>
      <c r="T34" s="667" t="s">
        <v>14</v>
      </c>
      <c r="U34" s="668">
        <f t="shared" si="13"/>
        <v>100</v>
      </c>
      <c r="V34" s="667" t="s">
        <v>14</v>
      </c>
      <c r="W34" s="668">
        <f t="shared" si="14"/>
        <v>100</v>
      </c>
      <c r="X34" s="1264"/>
      <c r="Y34" s="337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5"/>
      <c r="Q35" s="1262" t="str">
        <f t="shared" si="11"/>
        <v>公共部分装修</v>
      </c>
      <c r="R35" s="667" t="s">
        <v>14</v>
      </c>
      <c r="S35" s="668">
        <f t="shared" si="12"/>
        <v>100</v>
      </c>
      <c r="T35" s="667" t="s">
        <v>14</v>
      </c>
      <c r="U35" s="668">
        <f t="shared" si="13"/>
        <v>100</v>
      </c>
      <c r="V35" s="667" t="s">
        <v>14</v>
      </c>
      <c r="W35" s="668">
        <f t="shared" si="14"/>
        <v>100</v>
      </c>
      <c r="X35" s="1264"/>
      <c r="Y35" s="337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5"/>
      <c r="Q36" s="1262" t="str">
        <f t="shared" si="11"/>
        <v>成新度</v>
      </c>
      <c r="R36" s="667" t="s">
        <v>14</v>
      </c>
      <c r="S36" s="668" t="e">
        <f t="shared" si="12"/>
        <v>#N/A</v>
      </c>
      <c r="T36" s="667" t="s">
        <v>14</v>
      </c>
      <c r="U36" s="668" t="e">
        <f t="shared" si="13"/>
        <v>#N/A</v>
      </c>
      <c r="V36" s="667" t="s">
        <v>14</v>
      </c>
      <c r="W36" s="668" t="e">
        <f t="shared" si="14"/>
        <v>#N/A</v>
      </c>
      <c r="X36" s="1264"/>
      <c r="Y36" s="337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5"/>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5" t="s">
        <v>1696</v>
      </c>
      <c r="Q38" s="1262" t="str">
        <f t="shared" si="11"/>
        <v>业态</v>
      </c>
      <c r="R38" s="667" t="s">
        <v>14</v>
      </c>
      <c r="S38" s="668">
        <f t="shared" si="12"/>
        <v>100</v>
      </c>
      <c r="T38" s="667" t="s">
        <v>14</v>
      </c>
      <c r="U38" s="668">
        <f t="shared" si="13"/>
        <v>100</v>
      </c>
      <c r="V38" s="667" t="s">
        <v>14</v>
      </c>
      <c r="W38" s="668">
        <f t="shared" si="14"/>
        <v>100</v>
      </c>
      <c r="X38" s="1264"/>
      <c r="Y38" s="337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5"/>
      <c r="Q39" s="1262" t="str">
        <f t="shared" si="11"/>
        <v>层高</v>
      </c>
      <c r="R39" s="667" t="s">
        <v>14</v>
      </c>
      <c r="S39" s="668">
        <f t="shared" si="12"/>
        <v>100</v>
      </c>
      <c r="T39" s="667" t="s">
        <v>14</v>
      </c>
      <c r="U39" s="668">
        <f t="shared" si="13"/>
        <v>100</v>
      </c>
      <c r="V39" s="667" t="s">
        <v>14</v>
      </c>
      <c r="W39" s="668">
        <f t="shared" si="14"/>
        <v>100</v>
      </c>
      <c r="X39" s="1264"/>
      <c r="Y39" s="337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5"/>
      <c r="Q40" s="1262" t="str">
        <f t="shared" si="11"/>
        <v>单套建筑面积</v>
      </c>
      <c r="R40" s="667" t="s">
        <v>14</v>
      </c>
      <c r="S40" s="668">
        <f t="shared" si="12"/>
        <v>100</v>
      </c>
      <c r="T40" s="667" t="s">
        <v>14</v>
      </c>
      <c r="U40" s="668">
        <f t="shared" si="13"/>
        <v>100</v>
      </c>
      <c r="V40" s="667" t="s">
        <v>14</v>
      </c>
      <c r="W40" s="668">
        <f t="shared" si="14"/>
        <v>100</v>
      </c>
      <c r="X40" s="1264"/>
      <c r="Y40" s="337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5"/>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5"/>
      <c r="Q42" s="1262" t="str">
        <f t="shared" si="11"/>
        <v>内部装修</v>
      </c>
      <c r="R42" s="667" t="s">
        <v>14</v>
      </c>
      <c r="S42" s="668">
        <f t="shared" si="12"/>
        <v>100</v>
      </c>
      <c r="T42" s="667" t="s">
        <v>14</v>
      </c>
      <c r="U42" s="668">
        <f t="shared" si="13"/>
        <v>100</v>
      </c>
      <c r="V42" s="667" t="s">
        <v>14</v>
      </c>
      <c r="W42" s="668">
        <f t="shared" si="14"/>
        <v>100</v>
      </c>
      <c r="X42" s="1264"/>
      <c r="Y42" s="337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5"/>
      <c r="Q43" s="1262" t="str">
        <f t="shared" si="11"/>
        <v>内部装修维护情况</v>
      </c>
      <c r="R43" s="667" t="s">
        <v>14</v>
      </c>
      <c r="S43" s="668">
        <f t="shared" si="12"/>
        <v>100</v>
      </c>
      <c r="T43" s="667" t="s">
        <v>14</v>
      </c>
      <c r="U43" s="668">
        <f t="shared" si="13"/>
        <v>100</v>
      </c>
      <c r="V43" s="667" t="s">
        <v>14</v>
      </c>
      <c r="W43" s="668">
        <f t="shared" si="14"/>
        <v>100</v>
      </c>
      <c r="X43" s="1264"/>
      <c r="Y43" s="337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5"/>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5"/>
      <c r="Q45" s="1262">
        <f t="shared" si="11"/>
        <v>111</v>
      </c>
      <c r="R45" s="667" t="s">
        <v>14</v>
      </c>
      <c r="S45" s="668">
        <f t="shared" si="12"/>
        <v>100</v>
      </c>
      <c r="T45" s="667" t="s">
        <v>14</v>
      </c>
      <c r="U45" s="668">
        <f t="shared" si="13"/>
        <v>100</v>
      </c>
      <c r="V45" s="667" t="s">
        <v>14</v>
      </c>
      <c r="W45" s="668">
        <f t="shared" si="14"/>
        <v>100</v>
      </c>
      <c r="X45" s="1264"/>
      <c r="Y45" s="337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6"/>
      <c r="Q46" s="1262">
        <f t="shared" si="11"/>
        <v>111</v>
      </c>
      <c r="R46" s="667" t="s">
        <v>14</v>
      </c>
      <c r="S46" s="668">
        <f t="shared" si="12"/>
        <v>100</v>
      </c>
      <c r="T46" s="667" t="s">
        <v>14</v>
      </c>
      <c r="U46" s="668">
        <f t="shared" si="13"/>
        <v>100</v>
      </c>
      <c r="V46" s="667" t="s">
        <v>14</v>
      </c>
      <c r="W46" s="668">
        <f t="shared" si="14"/>
        <v>100</v>
      </c>
      <c r="X46" s="1264"/>
      <c r="Y46" s="3437"/>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2"/>
      <c r="M47" s="2485"/>
      <c r="N47" s="2485"/>
      <c r="O47" s="2485"/>
      <c r="P47" s="3369" t="str">
        <f>A47</f>
        <v>成交单价（元/平方米）</v>
      </c>
      <c r="Q47" s="3369"/>
      <c r="R47" s="3374">
        <f>E47</f>
        <v>0</v>
      </c>
      <c r="S47" s="3374"/>
      <c r="T47" s="3374">
        <f>G47</f>
        <v>0</v>
      </c>
      <c r="U47" s="3374"/>
      <c r="V47" s="3374">
        <f>I47</f>
        <v>0</v>
      </c>
      <c r="W47" s="3374"/>
      <c r="X47" s="385"/>
      <c r="Y47" s="673"/>
      <c r="Z47" s="385"/>
      <c r="AA47" s="385"/>
      <c r="AB47" s="385"/>
      <c r="AC47" s="385"/>
    </row>
    <row r="48" spans="1:29" ht="15.75" thickBot="1">
      <c r="A48" s="423" t="s">
        <v>1793</v>
      </c>
      <c r="B48" s="424"/>
      <c r="C48" s="1081" t="e">
        <f>R49</f>
        <v>#DIV/0!</v>
      </c>
      <c r="D48" s="2140" t="s">
        <v>2134</v>
      </c>
      <c r="E48" s="1082" t="e">
        <f>R48</f>
        <v>#DIV/0!</v>
      </c>
      <c r="F48" s="2141"/>
      <c r="G48" s="1081" t="e">
        <f>T48</f>
        <v>#DIV/0!</v>
      </c>
      <c r="H48" s="2141"/>
      <c r="I48" s="1082" t="e">
        <f>V48</f>
        <v>#DIV/0!</v>
      </c>
      <c r="J48" s="2141"/>
      <c r="K48" s="2143">
        <f>F48+H48+J48</f>
        <v>0</v>
      </c>
      <c r="L48" s="2492"/>
      <c r="M48" s="2485"/>
      <c r="N48" s="2485"/>
      <c r="O48" s="2485"/>
      <c r="P48" s="3369" t="str">
        <f>A48</f>
        <v>比较价值（元/平方米）</v>
      </c>
      <c r="Q48" s="336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63" t="str">
        <f>A49</f>
        <v>估价对象XX用房的比较价值（楼面单价，元/平方米）</v>
      </c>
      <c r="Q49" s="3364"/>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G20" sqref="G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139467.97</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448" t="s">
        <v>1775</v>
      </c>
      <c r="Q4" s="3449"/>
      <c r="R4" s="3452" t="s">
        <v>1771</v>
      </c>
      <c r="S4" s="3453"/>
      <c r="T4" s="3452" t="s">
        <v>1772</v>
      </c>
      <c r="U4" s="3453"/>
      <c r="V4" s="3454" t="s">
        <v>1773</v>
      </c>
      <c r="W4" s="3454"/>
      <c r="X4" s="1808"/>
      <c r="Y4" s="3452" t="s">
        <v>1775</v>
      </c>
      <c r="Z4" s="3453"/>
      <c r="AA4" s="3456" t="s">
        <v>1771</v>
      </c>
      <c r="AB4" s="3456" t="s">
        <v>1772</v>
      </c>
      <c r="AC4" s="3445" t="s">
        <v>1773</v>
      </c>
    </row>
    <row r="5" spans="1:29" ht="15">
      <c r="A5" s="348"/>
      <c r="B5" s="349"/>
      <c r="C5" s="3395" t="s">
        <v>1673</v>
      </c>
      <c r="D5" s="3396"/>
      <c r="E5" s="3402" t="s">
        <v>1674</v>
      </c>
      <c r="F5" s="3403"/>
      <c r="G5" s="3395" t="s">
        <v>1675</v>
      </c>
      <c r="H5" s="3396"/>
      <c r="I5" s="3395" t="s">
        <v>1676</v>
      </c>
      <c r="J5" s="3396"/>
      <c r="K5" s="537"/>
      <c r="L5" s="2484"/>
      <c r="M5" s="2485"/>
      <c r="N5" s="2485"/>
      <c r="O5" s="2485"/>
      <c r="P5" s="3450"/>
      <c r="Q5" s="3384"/>
      <c r="R5" s="3389"/>
      <c r="S5" s="3390"/>
      <c r="T5" s="3389"/>
      <c r="U5" s="3390"/>
      <c r="V5" s="3374"/>
      <c r="W5" s="3374"/>
      <c r="X5" s="1264"/>
      <c r="Y5" s="3389"/>
      <c r="Z5" s="3390"/>
      <c r="AA5" s="3376"/>
      <c r="AB5" s="3376"/>
      <c r="AC5" s="344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451"/>
      <c r="Q6" s="3386"/>
      <c r="R6" s="3389"/>
      <c r="S6" s="3390"/>
      <c r="T6" s="3391"/>
      <c r="U6" s="3392"/>
      <c r="V6" s="3374"/>
      <c r="W6" s="3374"/>
      <c r="X6" s="1264"/>
      <c r="Y6" s="3391"/>
      <c r="Z6" s="3392"/>
      <c r="AA6" s="3377"/>
      <c r="AB6" s="3377"/>
      <c r="AC6" s="3447"/>
    </row>
    <row r="7" spans="1:29" s="102" customFormat="1" ht="15.75" thickBot="1">
      <c r="A7" s="352" t="s">
        <v>1679</v>
      </c>
      <c r="B7" s="353"/>
      <c r="C7" s="354">
        <f>'数据-取费表'!B2</f>
        <v>45596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5"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5"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8"/>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7"/>
      <c r="N12" s="2437"/>
      <c r="O12" s="2437"/>
      <c r="P12" s="3368"/>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68"/>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2" t="str">
        <f t="shared" si="6"/>
        <v>办公集聚程度</v>
      </c>
      <c r="R15" s="667" t="s">
        <v>14</v>
      </c>
      <c r="S15" s="668">
        <f t="shared" si="0"/>
        <v>100</v>
      </c>
      <c r="T15" s="667" t="s">
        <v>14</v>
      </c>
      <c r="U15" s="668">
        <f t="shared" si="1"/>
        <v>100</v>
      </c>
      <c r="V15" s="667" t="s">
        <v>14</v>
      </c>
      <c r="W15" s="668">
        <f t="shared" si="2"/>
        <v>100</v>
      </c>
      <c r="X15" s="1264"/>
      <c r="Y15" s="337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39"/>
      <c r="Q16" s="1262"/>
      <c r="R16" s="667"/>
      <c r="S16" s="668"/>
      <c r="T16" s="667"/>
      <c r="U16" s="668"/>
      <c r="V16" s="667"/>
      <c r="W16" s="668"/>
      <c r="X16" s="1264"/>
      <c r="Y16" s="3371"/>
      <c r="Z16" s="1263"/>
      <c r="AA16" s="1263">
        <v>1</v>
      </c>
      <c r="AB16" s="1263">
        <v>1</v>
      </c>
      <c r="AC16" s="1811">
        <v>1</v>
      </c>
    </row>
    <row r="17" spans="1:29" ht="15">
      <c r="A17" s="367"/>
      <c r="B17" s="556" t="s">
        <v>1259</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39"/>
      <c r="Q18" s="1262"/>
      <c r="R18" s="667"/>
      <c r="S18" s="668"/>
      <c r="T18" s="667"/>
      <c r="U18" s="668"/>
      <c r="V18" s="667"/>
      <c r="W18" s="668"/>
      <c r="X18" s="1264"/>
      <c r="Y18" s="3371"/>
      <c r="Z18" s="1263"/>
      <c r="AA18" s="1263">
        <v>1</v>
      </c>
      <c r="AB18" s="1263">
        <v>1</v>
      </c>
      <c r="AC18" s="1811">
        <v>1</v>
      </c>
    </row>
    <row r="19" spans="1:29" ht="15">
      <c r="A19" s="367"/>
      <c r="B19" s="556" t="s">
        <v>1812</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39"/>
      <c r="Q20" s="1262"/>
      <c r="R20" s="667"/>
      <c r="S20" s="668"/>
      <c r="T20" s="667"/>
      <c r="U20" s="668"/>
      <c r="V20" s="667"/>
      <c r="W20" s="668"/>
      <c r="X20" s="1264"/>
      <c r="Y20" s="3371"/>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439"/>
      <c r="Q22" s="1262"/>
      <c r="R22" s="667"/>
      <c r="S22" s="668"/>
      <c r="T22" s="667"/>
      <c r="U22" s="668"/>
      <c r="V22" s="667"/>
      <c r="W22" s="668"/>
      <c r="X22" s="1264"/>
      <c r="Y22" s="3371"/>
      <c r="Z22" s="1263"/>
      <c r="AA22" s="1263">
        <v>1</v>
      </c>
      <c r="AB22" s="1263">
        <v>1</v>
      </c>
      <c r="AC22" s="1811">
        <v>1</v>
      </c>
    </row>
    <row r="23" spans="1:29" ht="15">
      <c r="A23" s="367"/>
      <c r="B23" s="556" t="s">
        <v>1814</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39"/>
      <c r="Q24" s="1262"/>
      <c r="R24" s="667"/>
      <c r="S24" s="668"/>
      <c r="T24" s="667"/>
      <c r="U24" s="668"/>
      <c r="V24" s="667"/>
      <c r="W24" s="668"/>
      <c r="X24" s="1264"/>
      <c r="Y24" s="337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2" t="str">
        <f>B25</f>
        <v>毗邻道路的类型与等级</v>
      </c>
      <c r="R25" s="667" t="s">
        <v>14</v>
      </c>
      <c r="S25" s="668">
        <f>F25</f>
        <v>100</v>
      </c>
      <c r="T25" s="667" t="s">
        <v>14</v>
      </c>
      <c r="U25" s="668">
        <f>H25</f>
        <v>100</v>
      </c>
      <c r="V25" s="667" t="s">
        <v>14</v>
      </c>
      <c r="W25" s="668">
        <f>J25</f>
        <v>100</v>
      </c>
      <c r="X25" s="1264"/>
      <c r="Y25" s="337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39"/>
      <c r="Q26" s="1262"/>
      <c r="R26" s="667"/>
      <c r="S26" s="668"/>
      <c r="T26" s="667"/>
      <c r="U26" s="668"/>
      <c r="V26" s="667"/>
      <c r="W26" s="668"/>
      <c r="X26" s="1264"/>
      <c r="Y26" s="337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2" t="str">
        <f t="shared" ref="Q27:Q47" si="11">B27</f>
        <v>楼层</v>
      </c>
      <c r="R27" s="667" t="s">
        <v>14</v>
      </c>
      <c r="S27" s="668">
        <f>F27</f>
        <v>100</v>
      </c>
      <c r="T27" s="667" t="s">
        <v>14</v>
      </c>
      <c r="U27" s="668">
        <f>H27</f>
        <v>100</v>
      </c>
      <c r="V27" s="667" t="s">
        <v>14</v>
      </c>
      <c r="W27" s="668">
        <f>J27</f>
        <v>100</v>
      </c>
      <c r="X27" s="1264"/>
      <c r="Y27" s="337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37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39"/>
      <c r="Q29" s="1262">
        <f t="shared" si="11"/>
        <v>111</v>
      </c>
      <c r="R29" s="667" t="s">
        <v>14</v>
      </c>
      <c r="S29" s="668">
        <f t="shared" ref="S29:S47" si="12">F29</f>
        <v>100</v>
      </c>
      <c r="T29" s="667" t="s">
        <v>14</v>
      </c>
      <c r="U29" s="668">
        <f t="shared" ref="U29:U47" si="13">H29</f>
        <v>100</v>
      </c>
      <c r="V29" s="667" t="s">
        <v>14</v>
      </c>
      <c r="W29" s="668">
        <f t="shared" ref="W29:W47" si="14">J29</f>
        <v>100</v>
      </c>
      <c r="X29" s="1264"/>
      <c r="Y29" s="337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3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3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39"/>
      <c r="Q32" s="1262">
        <f t="shared" si="11"/>
        <v>111</v>
      </c>
      <c r="R32" s="667" t="s">
        <v>14</v>
      </c>
      <c r="S32" s="668">
        <f t="shared" si="12"/>
        <v>100</v>
      </c>
      <c r="T32" s="667" t="s">
        <v>14</v>
      </c>
      <c r="U32" s="668">
        <f t="shared" si="13"/>
        <v>100</v>
      </c>
      <c r="V32" s="667" t="s">
        <v>14</v>
      </c>
      <c r="W32" s="668">
        <f t="shared" si="14"/>
        <v>100</v>
      </c>
      <c r="X32" s="1264"/>
      <c r="Y32" s="337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4"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5"/>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5"/>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5"/>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5"/>
      <c r="Q37" s="1262" t="str">
        <f t="shared" si="11"/>
        <v>成新度</v>
      </c>
      <c r="R37" s="667" t="s">
        <v>14</v>
      </c>
      <c r="S37" s="668" t="e">
        <f t="shared" si="12"/>
        <v>#N/A</v>
      </c>
      <c r="T37" s="667" t="s">
        <v>14</v>
      </c>
      <c r="U37" s="668" t="e">
        <f t="shared" si="13"/>
        <v>#N/A</v>
      </c>
      <c r="V37" s="667" t="s">
        <v>14</v>
      </c>
      <c r="W37" s="668" t="e">
        <f t="shared" si="14"/>
        <v>#N/A</v>
      </c>
      <c r="X37" s="1264"/>
      <c r="Y37" s="337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5"/>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5"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5"/>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5"/>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5"/>
      <c r="Q43" s="1262" t="str">
        <f t="shared" si="11"/>
        <v>内部装修</v>
      </c>
      <c r="R43" s="667" t="s">
        <v>14</v>
      </c>
      <c r="S43" s="668">
        <f t="shared" si="12"/>
        <v>100</v>
      </c>
      <c r="T43" s="667" t="s">
        <v>14</v>
      </c>
      <c r="U43" s="668">
        <f t="shared" si="13"/>
        <v>100</v>
      </c>
      <c r="V43" s="667" t="s">
        <v>14</v>
      </c>
      <c r="W43" s="668">
        <f t="shared" si="14"/>
        <v>100</v>
      </c>
      <c r="X43" s="1264"/>
      <c r="Y43" s="337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5"/>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5"/>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2">
        <f t="shared" si="11"/>
        <v>111</v>
      </c>
      <c r="R47" s="667" t="s">
        <v>14</v>
      </c>
      <c r="S47" s="668">
        <f t="shared" si="12"/>
        <v>100</v>
      </c>
      <c r="T47" s="667" t="s">
        <v>14</v>
      </c>
      <c r="U47" s="668">
        <f t="shared" si="13"/>
        <v>100</v>
      </c>
      <c r="V47" s="667" t="s">
        <v>14</v>
      </c>
      <c r="W47" s="668">
        <f t="shared" si="14"/>
        <v>100</v>
      </c>
      <c r="X47" s="1264"/>
      <c r="Y47" s="343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368" t="str">
        <f>A48</f>
        <v>成交单价（元/平方米）</v>
      </c>
      <c r="Q48" s="3369"/>
      <c r="R48" s="3374">
        <f>E48</f>
        <v>0</v>
      </c>
      <c r="S48" s="3374"/>
      <c r="T48" s="3374">
        <f>G48</f>
        <v>0</v>
      </c>
      <c r="U48" s="3374"/>
      <c r="V48" s="3374">
        <f>I48</f>
        <v>0</v>
      </c>
      <c r="W48" s="3374"/>
      <c r="X48" s="385"/>
      <c r="Y48" s="673"/>
      <c r="Z48" s="385"/>
      <c r="AA48" s="385"/>
      <c r="AB48" s="385"/>
      <c r="AC48" s="555"/>
    </row>
    <row r="49" spans="1:29" ht="15.75" thickBot="1">
      <c r="A49" s="423" t="s">
        <v>1793</v>
      </c>
      <c r="B49" s="424"/>
      <c r="C49" s="1081" t="e">
        <f>R50</f>
        <v>#DIV/0!</v>
      </c>
      <c r="D49" s="2140" t="s">
        <v>2134</v>
      </c>
      <c r="E49" s="1082" t="e">
        <f>R49</f>
        <v>#DIV/0!</v>
      </c>
      <c r="F49" s="2141"/>
      <c r="G49" s="1081" t="e">
        <f>T49</f>
        <v>#DIV/0!</v>
      </c>
      <c r="H49" s="2141"/>
      <c r="I49" s="1082" t="e">
        <f>V49</f>
        <v>#DIV/0!</v>
      </c>
      <c r="J49" s="2141"/>
      <c r="K49" s="2143">
        <f>F49+H49+J49</f>
        <v>0</v>
      </c>
      <c r="L49" s="2492"/>
      <c r="M49" s="2485"/>
      <c r="N49" s="2485"/>
      <c r="O49" s="2485"/>
      <c r="P49" s="3368" t="str">
        <f>A49</f>
        <v>比较价值（元/平方米）</v>
      </c>
      <c r="Q49" s="3369"/>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25" activePane="bottomLeft" state="frozen"/>
      <selection activeCell="F20" sqref="F20:G20"/>
      <selection pane="bottomLeft" activeCell="K15" sqref="K1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ht="25.5">
      <c r="A2" s="930"/>
      <c r="B2" s="622" t="s">
        <v>2086</v>
      </c>
      <c r="C2" s="14" t="str">
        <f t="shared" ref="C2:L2" si="0">C3&amp;"(含)"&amp;"-"&amp;D3</f>
        <v>0(含)-100</v>
      </c>
      <c r="D2" s="623" t="str">
        <f t="shared" si="0"/>
        <v>100(含)-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3715</v>
      </c>
      <c r="C5" s="940" t="s">
        <v>3708</v>
      </c>
      <c r="D5" s="941" t="s">
        <v>3390</v>
      </c>
      <c r="E5" s="941" t="s">
        <v>3391</v>
      </c>
      <c r="F5" s="1226" t="s">
        <v>3389</v>
      </c>
      <c r="G5" s="1226" t="s">
        <v>3714</v>
      </c>
      <c r="H5" s="1226"/>
      <c r="I5" s="1226"/>
      <c r="J5" s="1226"/>
      <c r="K5" s="1226"/>
      <c r="L5" s="1227"/>
      <c r="M5" s="1228"/>
      <c r="N5" s="1228"/>
      <c r="O5" s="1226"/>
      <c r="P5" s="1226"/>
      <c r="Q5" s="1226"/>
      <c r="R5" s="1226"/>
      <c r="S5" s="1229"/>
      <c r="T5" s="943">
        <f>'比较法-住宅'!K32</f>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97</v>
      </c>
      <c r="E6" s="849">
        <f t="shared" ref="E6:S6" si="7">D6-$T5</f>
        <v>94</v>
      </c>
      <c r="F6" s="1230">
        <f t="shared" si="7"/>
        <v>91</v>
      </c>
      <c r="G6" s="1230">
        <f t="shared" si="7"/>
        <v>88</v>
      </c>
      <c r="H6" s="1230">
        <f t="shared" si="7"/>
        <v>85</v>
      </c>
      <c r="I6" s="1230">
        <f t="shared" si="7"/>
        <v>82</v>
      </c>
      <c r="J6" s="1230">
        <f t="shared" si="7"/>
        <v>79</v>
      </c>
      <c r="K6" s="1230">
        <f t="shared" si="7"/>
        <v>76</v>
      </c>
      <c r="L6" s="1230">
        <f t="shared" si="7"/>
        <v>73</v>
      </c>
      <c r="M6" s="1230">
        <f t="shared" si="7"/>
        <v>70</v>
      </c>
      <c r="N6" s="1230">
        <f t="shared" si="7"/>
        <v>67</v>
      </c>
      <c r="O6" s="1230">
        <f t="shared" si="7"/>
        <v>64</v>
      </c>
      <c r="P6" s="1230">
        <f t="shared" si="7"/>
        <v>61</v>
      </c>
      <c r="Q6" s="1230">
        <f t="shared" si="7"/>
        <v>58</v>
      </c>
      <c r="R6" s="1230">
        <f t="shared" si="7"/>
        <v>55</v>
      </c>
      <c r="S6" s="1230">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3716</v>
      </c>
      <c r="C7" s="3169" t="s">
        <v>3719</v>
      </c>
      <c r="D7" s="845" t="s">
        <v>3717</v>
      </c>
      <c r="E7" s="845" t="s">
        <v>3718</v>
      </c>
      <c r="F7" s="1231" t="s">
        <v>3706</v>
      </c>
      <c r="G7" s="1231"/>
      <c r="H7" s="1231"/>
      <c r="I7" s="1231"/>
      <c r="J7" s="1231"/>
      <c r="K7" s="1231"/>
      <c r="L7" s="1231"/>
      <c r="M7" s="1232"/>
      <c r="N7" s="1233"/>
      <c r="O7" s="1234"/>
      <c r="P7" s="1234"/>
      <c r="Q7" s="1235"/>
      <c r="R7" s="1236"/>
      <c r="S7" s="1237"/>
      <c r="T7" s="631">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99</v>
      </c>
      <c r="E8" s="849">
        <f t="shared" ref="E8:S8" si="8">D8-$T7</f>
        <v>98</v>
      </c>
      <c r="F8" s="1230">
        <f t="shared" si="8"/>
        <v>97</v>
      </c>
      <c r="G8" s="1230">
        <f t="shared" si="8"/>
        <v>96</v>
      </c>
      <c r="H8" s="1230">
        <f t="shared" si="8"/>
        <v>95</v>
      </c>
      <c r="I8" s="1230">
        <f t="shared" si="8"/>
        <v>94</v>
      </c>
      <c r="J8" s="1230">
        <f t="shared" si="8"/>
        <v>93</v>
      </c>
      <c r="K8" s="1230">
        <f t="shared" si="8"/>
        <v>92</v>
      </c>
      <c r="L8" s="1230">
        <f t="shared" si="8"/>
        <v>91</v>
      </c>
      <c r="M8" s="1230">
        <f t="shared" si="8"/>
        <v>90</v>
      </c>
      <c r="N8" s="1230">
        <f t="shared" si="8"/>
        <v>89</v>
      </c>
      <c r="O8" s="1230">
        <f t="shared" si="8"/>
        <v>88</v>
      </c>
      <c r="P8" s="1230">
        <f t="shared" si="8"/>
        <v>87</v>
      </c>
      <c r="Q8" s="1230">
        <f t="shared" si="8"/>
        <v>86</v>
      </c>
      <c r="R8" s="1230">
        <f t="shared" si="8"/>
        <v>85</v>
      </c>
      <c r="S8" s="1230">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25.5">
      <c r="A9" s="925"/>
      <c r="B9" s="1249" t="s">
        <v>3720</v>
      </c>
      <c r="C9" s="851" t="s">
        <v>3514</v>
      </c>
      <c r="D9" s="845" t="s">
        <v>3707</v>
      </c>
      <c r="E9" s="845"/>
      <c r="F9" s="1231"/>
      <c r="G9" s="1231"/>
      <c r="H9" s="1231"/>
      <c r="I9" s="1231"/>
      <c r="J9" s="1231"/>
      <c r="K9" s="1231"/>
      <c r="L9" s="1238"/>
      <c r="M9" s="1232"/>
      <c r="N9" s="1233"/>
      <c r="O9" s="1234"/>
      <c r="P9" s="1234"/>
      <c r="Q9" s="1235"/>
      <c r="R9" s="1236"/>
      <c r="S9" s="1237"/>
      <c r="T9" s="631">
        <v>5</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95</v>
      </c>
      <c r="E10" s="715">
        <f t="shared" ref="E10:S10" si="9">D10-$T9</f>
        <v>90</v>
      </c>
      <c r="F10" s="1239">
        <f t="shared" si="9"/>
        <v>85</v>
      </c>
      <c r="G10" s="1239">
        <f t="shared" si="9"/>
        <v>80</v>
      </c>
      <c r="H10" s="1239">
        <f t="shared" si="9"/>
        <v>75</v>
      </c>
      <c r="I10" s="1239">
        <f t="shared" si="9"/>
        <v>70</v>
      </c>
      <c r="J10" s="1239">
        <f t="shared" si="9"/>
        <v>65</v>
      </c>
      <c r="K10" s="1239">
        <f t="shared" si="9"/>
        <v>60</v>
      </c>
      <c r="L10" s="1239">
        <f t="shared" si="9"/>
        <v>55</v>
      </c>
      <c r="M10" s="1239">
        <f t="shared" si="9"/>
        <v>50</v>
      </c>
      <c r="N10" s="1239">
        <f t="shared" si="9"/>
        <v>45</v>
      </c>
      <c r="O10" s="1239">
        <f t="shared" si="9"/>
        <v>40</v>
      </c>
      <c r="P10" s="1239">
        <f t="shared" si="9"/>
        <v>35</v>
      </c>
      <c r="Q10" s="1239">
        <f t="shared" si="9"/>
        <v>30</v>
      </c>
      <c r="R10" s="1239">
        <f t="shared" si="9"/>
        <v>25</v>
      </c>
      <c r="S10" s="1239">
        <f t="shared" si="9"/>
        <v>20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8"/>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300</v>
      </c>
      <c r="C22" s="3457" t="s">
        <v>27</v>
      </c>
      <c r="D22" s="3458"/>
      <c r="E22" s="3458"/>
      <c r="F22" s="3458"/>
      <c r="G22" s="3458"/>
      <c r="H22" s="3458"/>
      <c r="I22" s="3458"/>
      <c r="J22" s="3458"/>
      <c r="K22" s="3458"/>
      <c r="L22" s="3458"/>
      <c r="M22" s="3458"/>
      <c r="N22" s="3458"/>
      <c r="O22" s="3458"/>
      <c r="P22" s="3458"/>
      <c r="Q22" s="3459"/>
      <c r="R22" s="21">
        <f>ROUND(S22*10000/B22,0)</f>
        <v>39100</v>
      </c>
      <c r="S22" s="21">
        <f>SUM(S24:S10000)</f>
        <v>1173</v>
      </c>
    </row>
    <row r="23" spans="1:45" s="9" customFormat="1" ht="25.5">
      <c r="A23" s="8" t="s">
        <v>2097</v>
      </c>
      <c r="B23" s="8" t="s">
        <v>2098</v>
      </c>
      <c r="C23" s="8" t="s">
        <v>2099</v>
      </c>
      <c r="D23" s="8" t="str">
        <f>B5</f>
        <v>建筑类型</v>
      </c>
      <c r="E23" s="8" t="s">
        <v>2099</v>
      </c>
      <c r="F23" s="8" t="str">
        <f>B7</f>
        <v>内部装修</v>
      </c>
      <c r="G23" s="8" t="s">
        <v>2099</v>
      </c>
      <c r="H23" s="8" t="str">
        <f>B9</f>
        <v>是否含赠送地下室面积</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
        <v>3721</v>
      </c>
      <c r="B24" s="3170">
        <v>100</v>
      </c>
      <c r="C24" s="2568">
        <v>1</v>
      </c>
      <c r="D24" s="2569" t="s">
        <v>3389</v>
      </c>
      <c r="E24" s="2568">
        <v>1</v>
      </c>
      <c r="F24" s="2569" t="s">
        <v>3706</v>
      </c>
      <c r="G24" s="2568">
        <v>1</v>
      </c>
      <c r="H24" s="2569" t="s">
        <v>3707</v>
      </c>
      <c r="I24" s="2568">
        <v>1</v>
      </c>
      <c r="J24" s="2569"/>
      <c r="K24" s="2568">
        <v>1</v>
      </c>
      <c r="L24" s="2569"/>
      <c r="M24" s="2568">
        <v>1</v>
      </c>
      <c r="N24" s="2569"/>
      <c r="O24" s="2568">
        <v>1</v>
      </c>
      <c r="P24" s="2569"/>
      <c r="Q24" s="2568">
        <v>1</v>
      </c>
      <c r="R24" s="633">
        <f>'比较法-住宅'!C48</f>
        <v>37960</v>
      </c>
      <c r="S24" s="634">
        <f t="shared" ref="S24:S54" si="11">ROUND(R24*B24/10000,0)</f>
        <v>380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1" t="s">
        <v>3722</v>
      </c>
      <c r="B25" s="3171">
        <f>B24</f>
        <v>100</v>
      </c>
      <c r="C25" s="21">
        <f>IF(B25="",1,(LOOKUP(B25,$3:$3,$4:$4)-LOOKUP($B$24,$3:$3,$4:$4)+100)/100)</f>
        <v>1</v>
      </c>
      <c r="D25" s="635" t="s">
        <v>3390</v>
      </c>
      <c r="E25" s="21">
        <f>(SUMIF($5:$5,D25,$6:$6)-SUMIF($5:$5,$D$24,$6:$6)+100)/100</f>
        <v>1.06</v>
      </c>
      <c r="F25" s="2569" t="s">
        <v>3706</v>
      </c>
      <c r="G25" s="21">
        <f>(SUMIF($7:$7,F25,$8:$8)-SUMIF($7:$7,$F$24,$8:$8)+100)/100</f>
        <v>1</v>
      </c>
      <c r="H25" s="2569" t="s">
        <v>3707</v>
      </c>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40238</v>
      </c>
      <c r="S25" s="308">
        <f t="shared" si="11"/>
        <v>402</v>
      </c>
    </row>
    <row r="26" spans="1:45">
      <c r="A26" s="3171" t="s">
        <v>3723</v>
      </c>
      <c r="B26" s="3171">
        <f>B24</f>
        <v>100</v>
      </c>
      <c r="C26" s="21">
        <f t="shared" ref="C26:C89" si="12">IF(B26="",1,(LOOKUP(B26,$3:$3,$4:$4)-LOOKUP($B$24,$3:$3,$4:$4)+100)/100)</f>
        <v>1</v>
      </c>
      <c r="D26" s="635" t="s">
        <v>3391</v>
      </c>
      <c r="E26" s="21">
        <f t="shared" ref="E26:E89" si="13">(SUMIF($5:$5,D26,$6:$6)-SUMIF($5:$5,$D$24,$6:$6)+100)/100</f>
        <v>1.03</v>
      </c>
      <c r="F26" s="2569" t="s">
        <v>3706</v>
      </c>
      <c r="G26" s="21">
        <f t="shared" ref="G26:G89" si="14">(SUMIF($7:$7,F26,$8:$8)-SUMIF($7:$7,$F$24,$8:$8)+100)/100</f>
        <v>1</v>
      </c>
      <c r="H26" s="2569" t="s">
        <v>3707</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39099</v>
      </c>
      <c r="S26" s="308">
        <f t="shared" si="11"/>
        <v>391</v>
      </c>
    </row>
    <row r="27" spans="1:45">
      <c r="A27" s="142"/>
      <c r="B27" s="52"/>
      <c r="C27" s="21">
        <f t="shared" si="12"/>
        <v>1</v>
      </c>
      <c r="D27" s="635"/>
      <c r="E27" s="21">
        <f t="shared" si="13"/>
        <v>0.09</v>
      </c>
      <c r="F27" s="635"/>
      <c r="G27" s="21">
        <f t="shared" si="14"/>
        <v>0.03</v>
      </c>
      <c r="H27" s="635"/>
      <c r="I27" s="21">
        <f t="shared" si="15"/>
        <v>0.05</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0.09</v>
      </c>
      <c r="F28" s="635"/>
      <c r="G28" s="21">
        <f t="shared" si="14"/>
        <v>0.03</v>
      </c>
      <c r="H28" s="635"/>
      <c r="I28" s="21">
        <f t="shared" si="15"/>
        <v>0.05</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0.09</v>
      </c>
      <c r="F29" s="635"/>
      <c r="G29" s="21">
        <f t="shared" si="14"/>
        <v>0.03</v>
      </c>
      <c r="H29" s="635"/>
      <c r="I29" s="21">
        <f t="shared" si="15"/>
        <v>0.05</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0.09</v>
      </c>
      <c r="F30" s="635"/>
      <c r="G30" s="21">
        <f t="shared" si="14"/>
        <v>0.03</v>
      </c>
      <c r="H30" s="635"/>
      <c r="I30" s="21">
        <f t="shared" si="15"/>
        <v>0.05</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0.09</v>
      </c>
      <c r="F31" s="635"/>
      <c r="G31" s="21">
        <f t="shared" si="14"/>
        <v>0.03</v>
      </c>
      <c r="H31" s="635"/>
      <c r="I31" s="21">
        <f t="shared" si="15"/>
        <v>0.05</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0.09</v>
      </c>
      <c r="F32" s="635"/>
      <c r="G32" s="21">
        <f t="shared" si="14"/>
        <v>0.03</v>
      </c>
      <c r="H32" s="635"/>
      <c r="I32" s="21">
        <f t="shared" si="15"/>
        <v>0.05</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0.09</v>
      </c>
      <c r="F33" s="635"/>
      <c r="G33" s="21">
        <f t="shared" si="14"/>
        <v>0.03</v>
      </c>
      <c r="H33" s="635"/>
      <c r="I33" s="21">
        <f t="shared" si="15"/>
        <v>0.05</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0.09</v>
      </c>
      <c r="F34" s="635"/>
      <c r="G34" s="21">
        <f t="shared" si="14"/>
        <v>0.03</v>
      </c>
      <c r="H34" s="635"/>
      <c r="I34" s="21">
        <f t="shared" si="15"/>
        <v>0.05</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0.09</v>
      </c>
      <c r="F35" s="635"/>
      <c r="G35" s="21">
        <f t="shared" si="14"/>
        <v>0.03</v>
      </c>
      <c r="H35" s="635"/>
      <c r="I35" s="21">
        <f t="shared" si="15"/>
        <v>0.05</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0.09</v>
      </c>
      <c r="F36" s="635"/>
      <c r="G36" s="21">
        <f t="shared" si="14"/>
        <v>0.03</v>
      </c>
      <c r="H36" s="635"/>
      <c r="I36" s="21">
        <f t="shared" si="15"/>
        <v>0.05</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0.09</v>
      </c>
      <c r="F37" s="635"/>
      <c r="G37" s="21">
        <f t="shared" si="14"/>
        <v>0.03</v>
      </c>
      <c r="H37" s="635"/>
      <c r="I37" s="21">
        <f t="shared" si="15"/>
        <v>0.05</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0.09</v>
      </c>
      <c r="F38" s="635"/>
      <c r="G38" s="21">
        <f t="shared" si="14"/>
        <v>0.03</v>
      </c>
      <c r="H38" s="635"/>
      <c r="I38" s="21">
        <f t="shared" si="15"/>
        <v>0.05</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0.09</v>
      </c>
      <c r="F39" s="635"/>
      <c r="G39" s="21">
        <f t="shared" si="14"/>
        <v>0.03</v>
      </c>
      <c r="H39" s="635"/>
      <c r="I39" s="21">
        <f t="shared" si="15"/>
        <v>0.05</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0.09</v>
      </c>
      <c r="F40" s="635"/>
      <c r="G40" s="21">
        <f t="shared" si="14"/>
        <v>0.03</v>
      </c>
      <c r="H40" s="635"/>
      <c r="I40" s="21">
        <f t="shared" si="15"/>
        <v>0.05</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0.09</v>
      </c>
      <c r="F41" s="635"/>
      <c r="G41" s="21">
        <f t="shared" si="14"/>
        <v>0.03</v>
      </c>
      <c r="H41" s="635"/>
      <c r="I41" s="21">
        <f t="shared" si="15"/>
        <v>0.05</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0.09</v>
      </c>
      <c r="F42" s="635"/>
      <c r="G42" s="21">
        <f t="shared" si="14"/>
        <v>0.03</v>
      </c>
      <c r="H42" s="635"/>
      <c r="I42" s="21">
        <f t="shared" si="15"/>
        <v>0.05</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0.09</v>
      </c>
      <c r="F43" s="635"/>
      <c r="G43" s="21">
        <f t="shared" si="14"/>
        <v>0.03</v>
      </c>
      <c r="H43" s="635"/>
      <c r="I43" s="21">
        <f t="shared" si="15"/>
        <v>0.05</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0.09</v>
      </c>
      <c r="F44" s="635"/>
      <c r="G44" s="21">
        <f t="shared" si="14"/>
        <v>0.03</v>
      </c>
      <c r="H44" s="635"/>
      <c r="I44" s="21">
        <f t="shared" si="15"/>
        <v>0.05</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0.09</v>
      </c>
      <c r="F45" s="635"/>
      <c r="G45" s="21">
        <f t="shared" si="14"/>
        <v>0.03</v>
      </c>
      <c r="H45" s="635"/>
      <c r="I45" s="21">
        <f t="shared" si="15"/>
        <v>0.05</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0.09</v>
      </c>
      <c r="F46" s="635"/>
      <c r="G46" s="21">
        <f t="shared" si="14"/>
        <v>0.03</v>
      </c>
      <c r="H46" s="635"/>
      <c r="I46" s="21">
        <f t="shared" si="15"/>
        <v>0.05</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0.09</v>
      </c>
      <c r="F47" s="635"/>
      <c r="G47" s="21">
        <f t="shared" si="14"/>
        <v>0.03</v>
      </c>
      <c r="H47" s="635"/>
      <c r="I47" s="21">
        <f t="shared" si="15"/>
        <v>0.05</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0.09</v>
      </c>
      <c r="F48" s="635"/>
      <c r="G48" s="21">
        <f t="shared" si="14"/>
        <v>0.03</v>
      </c>
      <c r="H48" s="635"/>
      <c r="I48" s="21">
        <f t="shared" si="15"/>
        <v>0.05</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0.09</v>
      </c>
      <c r="F49" s="635"/>
      <c r="G49" s="21">
        <f t="shared" si="14"/>
        <v>0.03</v>
      </c>
      <c r="H49" s="635"/>
      <c r="I49" s="21">
        <f t="shared" si="15"/>
        <v>0.05</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0.09</v>
      </c>
      <c r="F50" s="635"/>
      <c r="G50" s="21">
        <f t="shared" si="14"/>
        <v>0.03</v>
      </c>
      <c r="H50" s="635"/>
      <c r="I50" s="21">
        <f t="shared" si="15"/>
        <v>0.05</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0.09</v>
      </c>
      <c r="F51" s="635"/>
      <c r="G51" s="21">
        <f t="shared" si="14"/>
        <v>0.03</v>
      </c>
      <c r="H51" s="635"/>
      <c r="I51" s="21">
        <f t="shared" si="15"/>
        <v>0.05</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0.09</v>
      </c>
      <c r="F52" s="635"/>
      <c r="G52" s="21">
        <f t="shared" si="14"/>
        <v>0.03</v>
      </c>
      <c r="H52" s="635"/>
      <c r="I52" s="21">
        <f t="shared" si="15"/>
        <v>0.05</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0.09</v>
      </c>
      <c r="F53" s="635"/>
      <c r="G53" s="21">
        <f t="shared" si="14"/>
        <v>0.03</v>
      </c>
      <c r="H53" s="635"/>
      <c r="I53" s="21">
        <f t="shared" si="15"/>
        <v>0.05</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0.09</v>
      </c>
      <c r="F54" s="635"/>
      <c r="G54" s="21">
        <f t="shared" si="14"/>
        <v>0.03</v>
      </c>
      <c r="H54" s="635"/>
      <c r="I54" s="21">
        <f t="shared" si="15"/>
        <v>0.05</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0.09</v>
      </c>
      <c r="F55" s="635"/>
      <c r="G55" s="21">
        <f t="shared" si="14"/>
        <v>0.03</v>
      </c>
      <c r="H55" s="635"/>
      <c r="I55" s="21">
        <f t="shared" si="15"/>
        <v>0.05</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0.09</v>
      </c>
      <c r="F56" s="635"/>
      <c r="G56" s="21">
        <f t="shared" si="14"/>
        <v>0.03</v>
      </c>
      <c r="H56" s="635"/>
      <c r="I56" s="21">
        <f t="shared" si="15"/>
        <v>0.05</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0.09</v>
      </c>
      <c r="F57" s="635"/>
      <c r="G57" s="21">
        <f t="shared" si="14"/>
        <v>0.03</v>
      </c>
      <c r="H57" s="635"/>
      <c r="I57" s="21">
        <f t="shared" si="15"/>
        <v>0.05</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0.09</v>
      </c>
      <c r="F58" s="635"/>
      <c r="G58" s="21">
        <f t="shared" si="14"/>
        <v>0.03</v>
      </c>
      <c r="H58" s="635"/>
      <c r="I58" s="21">
        <f t="shared" si="15"/>
        <v>0.05</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0.09</v>
      </c>
      <c r="F59" s="635"/>
      <c r="G59" s="21">
        <f t="shared" si="14"/>
        <v>0.03</v>
      </c>
      <c r="H59" s="635"/>
      <c r="I59" s="21">
        <f t="shared" si="15"/>
        <v>0.05</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0.09</v>
      </c>
      <c r="F60" s="635"/>
      <c r="G60" s="21">
        <f t="shared" si="14"/>
        <v>0.03</v>
      </c>
      <c r="H60" s="635"/>
      <c r="I60" s="21">
        <f t="shared" si="15"/>
        <v>0.05</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0.09</v>
      </c>
      <c r="F61" s="635"/>
      <c r="G61" s="21">
        <f t="shared" si="14"/>
        <v>0.03</v>
      </c>
      <c r="H61" s="635"/>
      <c r="I61" s="21">
        <f t="shared" si="15"/>
        <v>0.05</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0.09</v>
      </c>
      <c r="F62" s="635"/>
      <c r="G62" s="21">
        <f t="shared" si="14"/>
        <v>0.03</v>
      </c>
      <c r="H62" s="635"/>
      <c r="I62" s="21">
        <f t="shared" si="15"/>
        <v>0.05</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0.09</v>
      </c>
      <c r="F63" s="635"/>
      <c r="G63" s="21">
        <f t="shared" si="14"/>
        <v>0.03</v>
      </c>
      <c r="H63" s="635"/>
      <c r="I63" s="21">
        <f t="shared" si="15"/>
        <v>0.05</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0.09</v>
      </c>
      <c r="F64" s="635"/>
      <c r="G64" s="21">
        <f t="shared" si="14"/>
        <v>0.03</v>
      </c>
      <c r="H64" s="635"/>
      <c r="I64" s="21">
        <f t="shared" si="15"/>
        <v>0.05</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0.09</v>
      </c>
      <c r="F65" s="635"/>
      <c r="G65" s="21">
        <f t="shared" si="14"/>
        <v>0.03</v>
      </c>
      <c r="H65" s="635"/>
      <c r="I65" s="21">
        <f t="shared" si="15"/>
        <v>0.05</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0.09</v>
      </c>
      <c r="F66" s="635"/>
      <c r="G66" s="21">
        <f t="shared" si="14"/>
        <v>0.03</v>
      </c>
      <c r="H66" s="635"/>
      <c r="I66" s="21">
        <f t="shared" si="15"/>
        <v>0.05</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0.09</v>
      </c>
      <c r="F67" s="635"/>
      <c r="G67" s="21">
        <f t="shared" si="14"/>
        <v>0.03</v>
      </c>
      <c r="H67" s="635"/>
      <c r="I67" s="21">
        <f t="shared" si="15"/>
        <v>0.05</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0.09</v>
      </c>
      <c r="F68" s="635"/>
      <c r="G68" s="21">
        <f t="shared" si="14"/>
        <v>0.03</v>
      </c>
      <c r="H68" s="635"/>
      <c r="I68" s="21">
        <f t="shared" si="15"/>
        <v>0.05</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0.09</v>
      </c>
      <c r="F69" s="635"/>
      <c r="G69" s="21">
        <f t="shared" si="14"/>
        <v>0.03</v>
      </c>
      <c r="H69" s="635"/>
      <c r="I69" s="21">
        <f t="shared" si="15"/>
        <v>0.05</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0.09</v>
      </c>
      <c r="F70" s="635"/>
      <c r="G70" s="21">
        <f t="shared" si="14"/>
        <v>0.03</v>
      </c>
      <c r="H70" s="635"/>
      <c r="I70" s="21">
        <f t="shared" si="15"/>
        <v>0.05</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0.09</v>
      </c>
      <c r="F71" s="635"/>
      <c r="G71" s="21">
        <f t="shared" si="14"/>
        <v>0.03</v>
      </c>
      <c r="H71" s="635"/>
      <c r="I71" s="21">
        <f t="shared" si="15"/>
        <v>0.05</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0.09</v>
      </c>
      <c r="F72" s="635"/>
      <c r="G72" s="21">
        <f t="shared" si="14"/>
        <v>0.03</v>
      </c>
      <c r="H72" s="635"/>
      <c r="I72" s="21">
        <f t="shared" si="15"/>
        <v>0.05</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0.09</v>
      </c>
      <c r="F73" s="635"/>
      <c r="G73" s="21">
        <f t="shared" si="14"/>
        <v>0.03</v>
      </c>
      <c r="H73" s="635"/>
      <c r="I73" s="21">
        <f t="shared" si="15"/>
        <v>0.05</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0.09</v>
      </c>
      <c r="F74" s="635"/>
      <c r="G74" s="21">
        <f t="shared" si="14"/>
        <v>0.03</v>
      </c>
      <c r="H74" s="635"/>
      <c r="I74" s="21">
        <f t="shared" si="15"/>
        <v>0.05</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0.09</v>
      </c>
      <c r="F75" s="635"/>
      <c r="G75" s="21">
        <f t="shared" si="14"/>
        <v>0.03</v>
      </c>
      <c r="H75" s="635"/>
      <c r="I75" s="21">
        <f t="shared" si="15"/>
        <v>0.05</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0.09</v>
      </c>
      <c r="F76" s="635"/>
      <c r="G76" s="21">
        <f t="shared" si="14"/>
        <v>0.03</v>
      </c>
      <c r="H76" s="635"/>
      <c r="I76" s="21">
        <f t="shared" si="15"/>
        <v>0.05</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0.09</v>
      </c>
      <c r="F77" s="635"/>
      <c r="G77" s="21">
        <f t="shared" si="14"/>
        <v>0.03</v>
      </c>
      <c r="H77" s="635"/>
      <c r="I77" s="21">
        <f t="shared" si="15"/>
        <v>0.05</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0.09</v>
      </c>
      <c r="F78" s="635"/>
      <c r="G78" s="21">
        <f t="shared" si="14"/>
        <v>0.03</v>
      </c>
      <c r="H78" s="635"/>
      <c r="I78" s="21">
        <f t="shared" si="15"/>
        <v>0.05</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0.09</v>
      </c>
      <c r="F79" s="635"/>
      <c r="G79" s="21">
        <f t="shared" si="14"/>
        <v>0.03</v>
      </c>
      <c r="H79" s="635"/>
      <c r="I79" s="21">
        <f t="shared" si="15"/>
        <v>0.05</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0.09</v>
      </c>
      <c r="F80" s="635"/>
      <c r="G80" s="21">
        <f t="shared" si="14"/>
        <v>0.03</v>
      </c>
      <c r="H80" s="635"/>
      <c r="I80" s="21">
        <f t="shared" si="15"/>
        <v>0.05</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0.09</v>
      </c>
      <c r="F81" s="635"/>
      <c r="G81" s="21">
        <f t="shared" si="14"/>
        <v>0.03</v>
      </c>
      <c r="H81" s="635"/>
      <c r="I81" s="21">
        <f t="shared" si="15"/>
        <v>0.05</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0.09</v>
      </c>
      <c r="F82" s="635"/>
      <c r="G82" s="21">
        <f t="shared" si="14"/>
        <v>0.03</v>
      </c>
      <c r="H82" s="635"/>
      <c r="I82" s="21">
        <f t="shared" si="15"/>
        <v>0.05</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0.09</v>
      </c>
      <c r="F83" s="635"/>
      <c r="G83" s="21">
        <f t="shared" si="14"/>
        <v>0.03</v>
      </c>
      <c r="H83" s="635"/>
      <c r="I83" s="21">
        <f t="shared" si="15"/>
        <v>0.05</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0.09</v>
      </c>
      <c r="F84" s="635"/>
      <c r="G84" s="21">
        <f t="shared" si="14"/>
        <v>0.03</v>
      </c>
      <c r="H84" s="635"/>
      <c r="I84" s="21">
        <f t="shared" si="15"/>
        <v>0.05</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0.09</v>
      </c>
      <c r="F85" s="635"/>
      <c r="G85" s="21">
        <f t="shared" si="14"/>
        <v>0.03</v>
      </c>
      <c r="H85" s="635"/>
      <c r="I85" s="21">
        <f t="shared" si="15"/>
        <v>0.05</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0.09</v>
      </c>
      <c r="F86" s="635"/>
      <c r="G86" s="21">
        <f t="shared" si="14"/>
        <v>0.03</v>
      </c>
      <c r="H86" s="635"/>
      <c r="I86" s="21">
        <f t="shared" si="15"/>
        <v>0.05</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0.09</v>
      </c>
      <c r="F87" s="635"/>
      <c r="G87" s="21">
        <f t="shared" si="14"/>
        <v>0.03</v>
      </c>
      <c r="H87" s="635"/>
      <c r="I87" s="21">
        <f t="shared" si="15"/>
        <v>0.05</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0.09</v>
      </c>
      <c r="F88" s="635"/>
      <c r="G88" s="21">
        <f t="shared" si="14"/>
        <v>0.03</v>
      </c>
      <c r="H88" s="635"/>
      <c r="I88" s="21">
        <f t="shared" si="15"/>
        <v>0.05</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0.09</v>
      </c>
      <c r="F89" s="635"/>
      <c r="G89" s="21">
        <f t="shared" si="14"/>
        <v>0.03</v>
      </c>
      <c r="H89" s="635"/>
      <c r="I89" s="21">
        <f t="shared" si="15"/>
        <v>0.05</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0.09</v>
      </c>
      <c r="F90" s="635"/>
      <c r="G90" s="21">
        <f t="shared" ref="G90:G153" si="25">(SUMIF($7:$7,F90,$8:$8)-SUMIF($7:$7,$F$24,$8:$8)+100)/100</f>
        <v>0.03</v>
      </c>
      <c r="H90" s="635"/>
      <c r="I90" s="21">
        <f t="shared" ref="I90:I153" si="26">(SUMIF($9:$9,H90,$10:$10)-SUMIF($9:$9,$H$24,$10:$10)+100)/100</f>
        <v>0.05</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0.09</v>
      </c>
      <c r="F91" s="635"/>
      <c r="G91" s="21">
        <f t="shared" si="25"/>
        <v>0.03</v>
      </c>
      <c r="H91" s="635"/>
      <c r="I91" s="21">
        <f t="shared" si="26"/>
        <v>0.05</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0.09</v>
      </c>
      <c r="F92" s="635"/>
      <c r="G92" s="21">
        <f t="shared" si="25"/>
        <v>0.03</v>
      </c>
      <c r="H92" s="635"/>
      <c r="I92" s="21">
        <f t="shared" si="26"/>
        <v>0.05</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0.09</v>
      </c>
      <c r="F93" s="635"/>
      <c r="G93" s="21">
        <f t="shared" si="25"/>
        <v>0.03</v>
      </c>
      <c r="H93" s="635"/>
      <c r="I93" s="21">
        <f t="shared" si="26"/>
        <v>0.05</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0.09</v>
      </c>
      <c r="F94" s="635"/>
      <c r="G94" s="21">
        <f t="shared" si="25"/>
        <v>0.03</v>
      </c>
      <c r="H94" s="635"/>
      <c r="I94" s="21">
        <f t="shared" si="26"/>
        <v>0.05</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0.09</v>
      </c>
      <c r="F95" s="635"/>
      <c r="G95" s="21">
        <f t="shared" si="25"/>
        <v>0.03</v>
      </c>
      <c r="H95" s="635"/>
      <c r="I95" s="21">
        <f t="shared" si="26"/>
        <v>0.05</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0.09</v>
      </c>
      <c r="F96" s="635"/>
      <c r="G96" s="21">
        <f t="shared" si="25"/>
        <v>0.03</v>
      </c>
      <c r="H96" s="635"/>
      <c r="I96" s="21">
        <f t="shared" si="26"/>
        <v>0.05</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0.09</v>
      </c>
      <c r="F97" s="635"/>
      <c r="G97" s="21">
        <f t="shared" si="25"/>
        <v>0.03</v>
      </c>
      <c r="H97" s="635"/>
      <c r="I97" s="21">
        <f t="shared" si="26"/>
        <v>0.05</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0.09</v>
      </c>
      <c r="F98" s="635"/>
      <c r="G98" s="21">
        <f t="shared" si="25"/>
        <v>0.03</v>
      </c>
      <c r="H98" s="635"/>
      <c r="I98" s="21">
        <f t="shared" si="26"/>
        <v>0.05</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0.09</v>
      </c>
      <c r="F99" s="635"/>
      <c r="G99" s="21">
        <f t="shared" si="25"/>
        <v>0.03</v>
      </c>
      <c r="H99" s="635"/>
      <c r="I99" s="21">
        <f t="shared" si="26"/>
        <v>0.05</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0.09</v>
      </c>
      <c r="F100" s="635"/>
      <c r="G100" s="21">
        <f t="shared" si="25"/>
        <v>0.03</v>
      </c>
      <c r="H100" s="635"/>
      <c r="I100" s="21">
        <f t="shared" si="26"/>
        <v>0.05</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0.09</v>
      </c>
      <c r="F101" s="635"/>
      <c r="G101" s="21">
        <f t="shared" si="25"/>
        <v>0.03</v>
      </c>
      <c r="H101" s="635"/>
      <c r="I101" s="21">
        <f t="shared" si="26"/>
        <v>0.05</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0.09</v>
      </c>
      <c r="F102" s="635"/>
      <c r="G102" s="21">
        <f t="shared" si="25"/>
        <v>0.03</v>
      </c>
      <c r="H102" s="635"/>
      <c r="I102" s="21">
        <f t="shared" si="26"/>
        <v>0.05</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0.09</v>
      </c>
      <c r="F103" s="635"/>
      <c r="G103" s="21">
        <f t="shared" si="25"/>
        <v>0.03</v>
      </c>
      <c r="H103" s="635"/>
      <c r="I103" s="21">
        <f t="shared" si="26"/>
        <v>0.05</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0.09</v>
      </c>
      <c r="F104" s="635"/>
      <c r="G104" s="21">
        <f t="shared" si="25"/>
        <v>0.03</v>
      </c>
      <c r="H104" s="635"/>
      <c r="I104" s="21">
        <f t="shared" si="26"/>
        <v>0.05</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0.09</v>
      </c>
      <c r="F105" s="635"/>
      <c r="G105" s="21">
        <f t="shared" si="25"/>
        <v>0.03</v>
      </c>
      <c r="H105" s="635"/>
      <c r="I105" s="21">
        <f t="shared" si="26"/>
        <v>0.05</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0.09</v>
      </c>
      <c r="F106" s="635"/>
      <c r="G106" s="21">
        <f t="shared" si="25"/>
        <v>0.03</v>
      </c>
      <c r="H106" s="635"/>
      <c r="I106" s="21">
        <f t="shared" si="26"/>
        <v>0.05</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0.09</v>
      </c>
      <c r="F107" s="635"/>
      <c r="G107" s="21">
        <f t="shared" si="25"/>
        <v>0.03</v>
      </c>
      <c r="H107" s="635"/>
      <c r="I107" s="21">
        <f t="shared" si="26"/>
        <v>0.05</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0.09</v>
      </c>
      <c r="F108" s="635"/>
      <c r="G108" s="21">
        <f t="shared" si="25"/>
        <v>0.03</v>
      </c>
      <c r="H108" s="635"/>
      <c r="I108" s="21">
        <f t="shared" si="26"/>
        <v>0.05</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0.09</v>
      </c>
      <c r="F109" s="635"/>
      <c r="G109" s="21">
        <f t="shared" si="25"/>
        <v>0.03</v>
      </c>
      <c r="H109" s="635"/>
      <c r="I109" s="21">
        <f t="shared" si="26"/>
        <v>0.05</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0.09</v>
      </c>
      <c r="F110" s="635"/>
      <c r="G110" s="21">
        <f t="shared" si="25"/>
        <v>0.03</v>
      </c>
      <c r="H110" s="635"/>
      <c r="I110" s="21">
        <f t="shared" si="26"/>
        <v>0.05</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0.09</v>
      </c>
      <c r="F111" s="635"/>
      <c r="G111" s="21">
        <f t="shared" si="25"/>
        <v>0.03</v>
      </c>
      <c r="H111" s="635"/>
      <c r="I111" s="21">
        <f t="shared" si="26"/>
        <v>0.05</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0.09</v>
      </c>
      <c r="F112" s="635"/>
      <c r="G112" s="21">
        <f t="shared" si="25"/>
        <v>0.03</v>
      </c>
      <c r="H112" s="635"/>
      <c r="I112" s="21">
        <f t="shared" si="26"/>
        <v>0.05</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0.09</v>
      </c>
      <c r="F113" s="635"/>
      <c r="G113" s="21">
        <f t="shared" si="25"/>
        <v>0.03</v>
      </c>
      <c r="H113" s="635"/>
      <c r="I113" s="21">
        <f t="shared" si="26"/>
        <v>0.05</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0.09</v>
      </c>
      <c r="F114" s="635"/>
      <c r="G114" s="21">
        <f t="shared" si="25"/>
        <v>0.03</v>
      </c>
      <c r="H114" s="635"/>
      <c r="I114" s="21">
        <f t="shared" si="26"/>
        <v>0.05</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0.09</v>
      </c>
      <c r="F115" s="635"/>
      <c r="G115" s="21">
        <f t="shared" si="25"/>
        <v>0.03</v>
      </c>
      <c r="H115" s="635"/>
      <c r="I115" s="21">
        <f t="shared" si="26"/>
        <v>0.05</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0.09</v>
      </c>
      <c r="F116" s="635"/>
      <c r="G116" s="21">
        <f t="shared" si="25"/>
        <v>0.03</v>
      </c>
      <c r="H116" s="635"/>
      <c r="I116" s="21">
        <f t="shared" si="26"/>
        <v>0.05</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0.09</v>
      </c>
      <c r="F117" s="635"/>
      <c r="G117" s="21">
        <f t="shared" si="25"/>
        <v>0.03</v>
      </c>
      <c r="H117" s="635"/>
      <c r="I117" s="21">
        <f t="shared" si="26"/>
        <v>0.05</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0.09</v>
      </c>
      <c r="F118" s="635"/>
      <c r="G118" s="21">
        <f t="shared" si="25"/>
        <v>0.03</v>
      </c>
      <c r="H118" s="635"/>
      <c r="I118" s="21">
        <f t="shared" si="26"/>
        <v>0.05</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0.09</v>
      </c>
      <c r="F119" s="635"/>
      <c r="G119" s="21">
        <f t="shared" si="25"/>
        <v>0.03</v>
      </c>
      <c r="H119" s="635"/>
      <c r="I119" s="21">
        <f t="shared" si="26"/>
        <v>0.05</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0.09</v>
      </c>
      <c r="F120" s="635"/>
      <c r="G120" s="21">
        <f t="shared" si="25"/>
        <v>0.03</v>
      </c>
      <c r="H120" s="635"/>
      <c r="I120" s="21">
        <f t="shared" si="26"/>
        <v>0.05</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0.09</v>
      </c>
      <c r="F121" s="635"/>
      <c r="G121" s="21">
        <f t="shared" si="25"/>
        <v>0.03</v>
      </c>
      <c r="H121" s="635"/>
      <c r="I121" s="21">
        <f t="shared" si="26"/>
        <v>0.05</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0.09</v>
      </c>
      <c r="F122" s="635"/>
      <c r="G122" s="21">
        <f t="shared" si="25"/>
        <v>0.03</v>
      </c>
      <c r="H122" s="635"/>
      <c r="I122" s="21">
        <f t="shared" si="26"/>
        <v>0.05</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0.09</v>
      </c>
      <c r="F123" s="635"/>
      <c r="G123" s="21">
        <f t="shared" si="25"/>
        <v>0.03</v>
      </c>
      <c r="H123" s="635"/>
      <c r="I123" s="21">
        <f t="shared" si="26"/>
        <v>0.05</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0.09</v>
      </c>
      <c r="F124" s="635"/>
      <c r="G124" s="21">
        <f t="shared" si="25"/>
        <v>0.03</v>
      </c>
      <c r="H124" s="635"/>
      <c r="I124" s="21">
        <f t="shared" si="26"/>
        <v>0.05</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0.09</v>
      </c>
      <c r="F125" s="635"/>
      <c r="G125" s="21">
        <f t="shared" si="25"/>
        <v>0.03</v>
      </c>
      <c r="H125" s="635"/>
      <c r="I125" s="21">
        <f t="shared" si="26"/>
        <v>0.05</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0.09</v>
      </c>
      <c r="F126" s="635"/>
      <c r="G126" s="21">
        <f t="shared" si="25"/>
        <v>0.03</v>
      </c>
      <c r="H126" s="635"/>
      <c r="I126" s="21">
        <f t="shared" si="26"/>
        <v>0.05</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0.09</v>
      </c>
      <c r="F127" s="635"/>
      <c r="G127" s="21">
        <f t="shared" si="25"/>
        <v>0.03</v>
      </c>
      <c r="H127" s="635"/>
      <c r="I127" s="21">
        <f t="shared" si="26"/>
        <v>0.05</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0.09</v>
      </c>
      <c r="F128" s="635"/>
      <c r="G128" s="21">
        <f t="shared" si="25"/>
        <v>0.03</v>
      </c>
      <c r="H128" s="635"/>
      <c r="I128" s="21">
        <f t="shared" si="26"/>
        <v>0.05</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0.09</v>
      </c>
      <c r="F129" s="635"/>
      <c r="G129" s="21">
        <f t="shared" si="25"/>
        <v>0.03</v>
      </c>
      <c r="H129" s="635"/>
      <c r="I129" s="21">
        <f t="shared" si="26"/>
        <v>0.05</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0.09</v>
      </c>
      <c r="F130" s="635"/>
      <c r="G130" s="21">
        <f t="shared" si="25"/>
        <v>0.03</v>
      </c>
      <c r="H130" s="635"/>
      <c r="I130" s="21">
        <f t="shared" si="26"/>
        <v>0.05</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0.09</v>
      </c>
      <c r="F131" s="635"/>
      <c r="G131" s="21">
        <f t="shared" si="25"/>
        <v>0.03</v>
      </c>
      <c r="H131" s="635"/>
      <c r="I131" s="21">
        <f t="shared" si="26"/>
        <v>0.05</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0.09</v>
      </c>
      <c r="F132" s="635"/>
      <c r="G132" s="21">
        <f t="shared" si="25"/>
        <v>0.03</v>
      </c>
      <c r="H132" s="635"/>
      <c r="I132" s="21">
        <f t="shared" si="26"/>
        <v>0.05</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0.09</v>
      </c>
      <c r="F133" s="635"/>
      <c r="G133" s="21">
        <f t="shared" si="25"/>
        <v>0.03</v>
      </c>
      <c r="H133" s="635"/>
      <c r="I133" s="21">
        <f t="shared" si="26"/>
        <v>0.05</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0.09</v>
      </c>
      <c r="F134" s="635"/>
      <c r="G134" s="21">
        <f t="shared" si="25"/>
        <v>0.03</v>
      </c>
      <c r="H134" s="635"/>
      <c r="I134" s="21">
        <f t="shared" si="26"/>
        <v>0.05</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0.09</v>
      </c>
      <c r="F135" s="635"/>
      <c r="G135" s="21">
        <f t="shared" si="25"/>
        <v>0.03</v>
      </c>
      <c r="H135" s="635"/>
      <c r="I135" s="21">
        <f t="shared" si="26"/>
        <v>0.05</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0.09</v>
      </c>
      <c r="F136" s="635"/>
      <c r="G136" s="21">
        <f t="shared" si="25"/>
        <v>0.03</v>
      </c>
      <c r="H136" s="635"/>
      <c r="I136" s="21">
        <f t="shared" si="26"/>
        <v>0.05</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0.09</v>
      </c>
      <c r="F137" s="635"/>
      <c r="G137" s="21">
        <f t="shared" si="25"/>
        <v>0.03</v>
      </c>
      <c r="H137" s="635"/>
      <c r="I137" s="21">
        <f t="shared" si="26"/>
        <v>0.05</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0.09</v>
      </c>
      <c r="F138" s="635"/>
      <c r="G138" s="21">
        <f t="shared" si="25"/>
        <v>0.03</v>
      </c>
      <c r="H138" s="635"/>
      <c r="I138" s="21">
        <f t="shared" si="26"/>
        <v>0.05</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0.09</v>
      </c>
      <c r="F139" s="635"/>
      <c r="G139" s="21">
        <f t="shared" si="25"/>
        <v>0.03</v>
      </c>
      <c r="H139" s="635"/>
      <c r="I139" s="21">
        <f t="shared" si="26"/>
        <v>0.05</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0.09</v>
      </c>
      <c r="F140" s="635"/>
      <c r="G140" s="21">
        <f t="shared" si="25"/>
        <v>0.03</v>
      </c>
      <c r="H140" s="635"/>
      <c r="I140" s="21">
        <f t="shared" si="26"/>
        <v>0.05</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0.09</v>
      </c>
      <c r="F141" s="635"/>
      <c r="G141" s="21">
        <f t="shared" si="25"/>
        <v>0.03</v>
      </c>
      <c r="H141" s="635"/>
      <c r="I141" s="21">
        <f t="shared" si="26"/>
        <v>0.05</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0.09</v>
      </c>
      <c r="F142" s="635"/>
      <c r="G142" s="21">
        <f t="shared" si="25"/>
        <v>0.03</v>
      </c>
      <c r="H142" s="635"/>
      <c r="I142" s="21">
        <f t="shared" si="26"/>
        <v>0.05</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0.09</v>
      </c>
      <c r="F143" s="635"/>
      <c r="G143" s="21">
        <f t="shared" si="25"/>
        <v>0.03</v>
      </c>
      <c r="H143" s="635"/>
      <c r="I143" s="21">
        <f t="shared" si="26"/>
        <v>0.05</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0.09</v>
      </c>
      <c r="F144" s="635"/>
      <c r="G144" s="21">
        <f t="shared" si="25"/>
        <v>0.03</v>
      </c>
      <c r="H144" s="635"/>
      <c r="I144" s="21">
        <f t="shared" si="26"/>
        <v>0.05</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0.09</v>
      </c>
      <c r="F145" s="635"/>
      <c r="G145" s="21">
        <f t="shared" si="25"/>
        <v>0.03</v>
      </c>
      <c r="H145" s="635"/>
      <c r="I145" s="21">
        <f t="shared" si="26"/>
        <v>0.05</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0.09</v>
      </c>
      <c r="F146" s="635"/>
      <c r="G146" s="21">
        <f t="shared" si="25"/>
        <v>0.03</v>
      </c>
      <c r="H146" s="635"/>
      <c r="I146" s="21">
        <f t="shared" si="26"/>
        <v>0.05</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0.09</v>
      </c>
      <c r="F147" s="635"/>
      <c r="G147" s="21">
        <f t="shared" si="25"/>
        <v>0.03</v>
      </c>
      <c r="H147" s="635"/>
      <c r="I147" s="21">
        <f t="shared" si="26"/>
        <v>0.05</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0.09</v>
      </c>
      <c r="F148" s="635"/>
      <c r="G148" s="21">
        <f t="shared" si="25"/>
        <v>0.03</v>
      </c>
      <c r="H148" s="635"/>
      <c r="I148" s="21">
        <f t="shared" si="26"/>
        <v>0.05</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0.09</v>
      </c>
      <c r="F149" s="635"/>
      <c r="G149" s="21">
        <f t="shared" si="25"/>
        <v>0.03</v>
      </c>
      <c r="H149" s="635"/>
      <c r="I149" s="21">
        <f t="shared" si="26"/>
        <v>0.05</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0.09</v>
      </c>
      <c r="F150" s="635"/>
      <c r="G150" s="21">
        <f t="shared" si="25"/>
        <v>0.03</v>
      </c>
      <c r="H150" s="635"/>
      <c r="I150" s="21">
        <f t="shared" si="26"/>
        <v>0.05</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0.09</v>
      </c>
      <c r="F151" s="635"/>
      <c r="G151" s="21">
        <f t="shared" si="25"/>
        <v>0.03</v>
      </c>
      <c r="H151" s="635"/>
      <c r="I151" s="21">
        <f t="shared" si="26"/>
        <v>0.05</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0.09</v>
      </c>
      <c r="F152" s="635"/>
      <c r="G152" s="21">
        <f t="shared" si="25"/>
        <v>0.03</v>
      </c>
      <c r="H152" s="635"/>
      <c r="I152" s="21">
        <f t="shared" si="26"/>
        <v>0.05</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0.09</v>
      </c>
      <c r="F153" s="635"/>
      <c r="G153" s="21">
        <f t="shared" si="25"/>
        <v>0.03</v>
      </c>
      <c r="H153" s="635"/>
      <c r="I153" s="21">
        <f t="shared" si="26"/>
        <v>0.05</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0.09</v>
      </c>
      <c r="F154" s="635"/>
      <c r="G154" s="21">
        <f t="shared" ref="G154:G217" si="35">(SUMIF($7:$7,F154,$8:$8)-SUMIF($7:$7,$F$24,$8:$8)+100)/100</f>
        <v>0.03</v>
      </c>
      <c r="H154" s="635"/>
      <c r="I154" s="21">
        <f t="shared" ref="I154:I217" si="36">(SUMIF($9:$9,H154,$10:$10)-SUMIF($9:$9,$H$24,$10:$10)+100)/100</f>
        <v>0.05</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0.09</v>
      </c>
      <c r="F155" s="635"/>
      <c r="G155" s="21">
        <f t="shared" si="35"/>
        <v>0.03</v>
      </c>
      <c r="H155" s="635"/>
      <c r="I155" s="21">
        <f t="shared" si="36"/>
        <v>0.05</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0.09</v>
      </c>
      <c r="F156" s="635"/>
      <c r="G156" s="21">
        <f t="shared" si="35"/>
        <v>0.03</v>
      </c>
      <c r="H156" s="635"/>
      <c r="I156" s="21">
        <f t="shared" si="36"/>
        <v>0.05</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0.09</v>
      </c>
      <c r="F157" s="635"/>
      <c r="G157" s="21">
        <f t="shared" si="35"/>
        <v>0.03</v>
      </c>
      <c r="H157" s="635"/>
      <c r="I157" s="21">
        <f t="shared" si="36"/>
        <v>0.05</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0.09</v>
      </c>
      <c r="F158" s="635"/>
      <c r="G158" s="21">
        <f t="shared" si="35"/>
        <v>0.03</v>
      </c>
      <c r="H158" s="635"/>
      <c r="I158" s="21">
        <f t="shared" si="36"/>
        <v>0.05</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0.09</v>
      </c>
      <c r="F159" s="635"/>
      <c r="G159" s="21">
        <f t="shared" si="35"/>
        <v>0.03</v>
      </c>
      <c r="H159" s="635"/>
      <c r="I159" s="21">
        <f t="shared" si="36"/>
        <v>0.05</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0.09</v>
      </c>
      <c r="F160" s="635"/>
      <c r="G160" s="21">
        <f t="shared" si="35"/>
        <v>0.03</v>
      </c>
      <c r="H160" s="635"/>
      <c r="I160" s="21">
        <f t="shared" si="36"/>
        <v>0.05</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0.09</v>
      </c>
      <c r="F161" s="635"/>
      <c r="G161" s="21">
        <f t="shared" si="35"/>
        <v>0.03</v>
      </c>
      <c r="H161" s="635"/>
      <c r="I161" s="21">
        <f t="shared" si="36"/>
        <v>0.05</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0.09</v>
      </c>
      <c r="F162" s="635"/>
      <c r="G162" s="21">
        <f t="shared" si="35"/>
        <v>0.03</v>
      </c>
      <c r="H162" s="635"/>
      <c r="I162" s="21">
        <f t="shared" si="36"/>
        <v>0.05</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0.09</v>
      </c>
      <c r="F163" s="635"/>
      <c r="G163" s="21">
        <f t="shared" si="35"/>
        <v>0.03</v>
      </c>
      <c r="H163" s="635"/>
      <c r="I163" s="21">
        <f t="shared" si="36"/>
        <v>0.05</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0.09</v>
      </c>
      <c r="F164" s="635"/>
      <c r="G164" s="21">
        <f t="shared" si="35"/>
        <v>0.03</v>
      </c>
      <c r="H164" s="635"/>
      <c r="I164" s="21">
        <f t="shared" si="36"/>
        <v>0.05</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0.09</v>
      </c>
      <c r="F165" s="635"/>
      <c r="G165" s="21">
        <f t="shared" si="35"/>
        <v>0.03</v>
      </c>
      <c r="H165" s="635"/>
      <c r="I165" s="21">
        <f t="shared" si="36"/>
        <v>0.05</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0.09</v>
      </c>
      <c r="F166" s="635"/>
      <c r="G166" s="21">
        <f t="shared" si="35"/>
        <v>0.03</v>
      </c>
      <c r="H166" s="635"/>
      <c r="I166" s="21">
        <f t="shared" si="36"/>
        <v>0.05</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0.09</v>
      </c>
      <c r="F167" s="635"/>
      <c r="G167" s="21">
        <f t="shared" si="35"/>
        <v>0.03</v>
      </c>
      <c r="H167" s="635"/>
      <c r="I167" s="21">
        <f t="shared" si="36"/>
        <v>0.05</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0.09</v>
      </c>
      <c r="F168" s="635"/>
      <c r="G168" s="21">
        <f t="shared" si="35"/>
        <v>0.03</v>
      </c>
      <c r="H168" s="635"/>
      <c r="I168" s="21">
        <f t="shared" si="36"/>
        <v>0.05</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0.09</v>
      </c>
      <c r="F169" s="635"/>
      <c r="G169" s="21">
        <f t="shared" si="35"/>
        <v>0.03</v>
      </c>
      <c r="H169" s="635"/>
      <c r="I169" s="21">
        <f t="shared" si="36"/>
        <v>0.05</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0.09</v>
      </c>
      <c r="F170" s="635"/>
      <c r="G170" s="21">
        <f t="shared" si="35"/>
        <v>0.03</v>
      </c>
      <c r="H170" s="635"/>
      <c r="I170" s="21">
        <f t="shared" si="36"/>
        <v>0.05</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0.09</v>
      </c>
      <c r="F171" s="635"/>
      <c r="G171" s="21">
        <f t="shared" si="35"/>
        <v>0.03</v>
      </c>
      <c r="H171" s="635"/>
      <c r="I171" s="21">
        <f t="shared" si="36"/>
        <v>0.05</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0.09</v>
      </c>
      <c r="F172" s="635"/>
      <c r="G172" s="21">
        <f t="shared" si="35"/>
        <v>0.03</v>
      </c>
      <c r="H172" s="635"/>
      <c r="I172" s="21">
        <f t="shared" si="36"/>
        <v>0.05</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0.09</v>
      </c>
      <c r="F173" s="635"/>
      <c r="G173" s="21">
        <f t="shared" si="35"/>
        <v>0.03</v>
      </c>
      <c r="H173" s="635"/>
      <c r="I173" s="21">
        <f t="shared" si="36"/>
        <v>0.05</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0.09</v>
      </c>
      <c r="F174" s="635"/>
      <c r="G174" s="21">
        <f t="shared" si="35"/>
        <v>0.03</v>
      </c>
      <c r="H174" s="635"/>
      <c r="I174" s="21">
        <f t="shared" si="36"/>
        <v>0.05</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0.09</v>
      </c>
      <c r="F175" s="635"/>
      <c r="G175" s="21">
        <f t="shared" si="35"/>
        <v>0.03</v>
      </c>
      <c r="H175" s="635"/>
      <c r="I175" s="21">
        <f t="shared" si="36"/>
        <v>0.05</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0.09</v>
      </c>
      <c r="F176" s="635"/>
      <c r="G176" s="21">
        <f t="shared" si="35"/>
        <v>0.03</v>
      </c>
      <c r="H176" s="635"/>
      <c r="I176" s="21">
        <f t="shared" si="36"/>
        <v>0.05</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0.09</v>
      </c>
      <c r="F177" s="635"/>
      <c r="G177" s="21">
        <f t="shared" si="35"/>
        <v>0.03</v>
      </c>
      <c r="H177" s="635"/>
      <c r="I177" s="21">
        <f t="shared" si="36"/>
        <v>0.05</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0.09</v>
      </c>
      <c r="F178" s="635"/>
      <c r="G178" s="21">
        <f t="shared" si="35"/>
        <v>0.03</v>
      </c>
      <c r="H178" s="635"/>
      <c r="I178" s="21">
        <f t="shared" si="36"/>
        <v>0.05</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0.09</v>
      </c>
      <c r="F179" s="635"/>
      <c r="G179" s="21">
        <f t="shared" si="35"/>
        <v>0.03</v>
      </c>
      <c r="H179" s="635"/>
      <c r="I179" s="21">
        <f t="shared" si="36"/>
        <v>0.05</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0.09</v>
      </c>
      <c r="F180" s="635"/>
      <c r="G180" s="21">
        <f t="shared" si="35"/>
        <v>0.03</v>
      </c>
      <c r="H180" s="635"/>
      <c r="I180" s="21">
        <f t="shared" si="36"/>
        <v>0.05</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0.09</v>
      </c>
      <c r="F181" s="635"/>
      <c r="G181" s="21">
        <f t="shared" si="35"/>
        <v>0.03</v>
      </c>
      <c r="H181" s="635"/>
      <c r="I181" s="21">
        <f t="shared" si="36"/>
        <v>0.05</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0.09</v>
      </c>
      <c r="F182" s="635"/>
      <c r="G182" s="21">
        <f t="shared" si="35"/>
        <v>0.03</v>
      </c>
      <c r="H182" s="635"/>
      <c r="I182" s="21">
        <f t="shared" si="36"/>
        <v>0.05</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0.09</v>
      </c>
      <c r="F183" s="635"/>
      <c r="G183" s="21">
        <f t="shared" si="35"/>
        <v>0.03</v>
      </c>
      <c r="H183" s="635"/>
      <c r="I183" s="21">
        <f t="shared" si="36"/>
        <v>0.05</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0.09</v>
      </c>
      <c r="F184" s="635"/>
      <c r="G184" s="21">
        <f t="shared" si="35"/>
        <v>0.03</v>
      </c>
      <c r="H184" s="635"/>
      <c r="I184" s="21">
        <f t="shared" si="36"/>
        <v>0.05</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0.09</v>
      </c>
      <c r="F185" s="635"/>
      <c r="G185" s="21">
        <f t="shared" si="35"/>
        <v>0.03</v>
      </c>
      <c r="H185" s="635"/>
      <c r="I185" s="21">
        <f t="shared" si="36"/>
        <v>0.05</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0.09</v>
      </c>
      <c r="F186" s="635"/>
      <c r="G186" s="21">
        <f t="shared" si="35"/>
        <v>0.03</v>
      </c>
      <c r="H186" s="635"/>
      <c r="I186" s="21">
        <f t="shared" si="36"/>
        <v>0.05</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0.09</v>
      </c>
      <c r="F187" s="635"/>
      <c r="G187" s="21">
        <f t="shared" si="35"/>
        <v>0.03</v>
      </c>
      <c r="H187" s="635"/>
      <c r="I187" s="21">
        <f t="shared" si="36"/>
        <v>0.05</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0.09</v>
      </c>
      <c r="F188" s="635"/>
      <c r="G188" s="21">
        <f t="shared" si="35"/>
        <v>0.03</v>
      </c>
      <c r="H188" s="635"/>
      <c r="I188" s="21">
        <f t="shared" si="36"/>
        <v>0.05</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0.09</v>
      </c>
      <c r="F189" s="635"/>
      <c r="G189" s="21">
        <f t="shared" si="35"/>
        <v>0.03</v>
      </c>
      <c r="H189" s="635"/>
      <c r="I189" s="21">
        <f t="shared" si="36"/>
        <v>0.05</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0.09</v>
      </c>
      <c r="F190" s="635"/>
      <c r="G190" s="21">
        <f t="shared" si="35"/>
        <v>0.03</v>
      </c>
      <c r="H190" s="635"/>
      <c r="I190" s="21">
        <f t="shared" si="36"/>
        <v>0.05</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0.09</v>
      </c>
      <c r="F191" s="635"/>
      <c r="G191" s="21">
        <f t="shared" si="35"/>
        <v>0.03</v>
      </c>
      <c r="H191" s="635"/>
      <c r="I191" s="21">
        <f t="shared" si="36"/>
        <v>0.05</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0.09</v>
      </c>
      <c r="F192" s="635"/>
      <c r="G192" s="21">
        <f t="shared" si="35"/>
        <v>0.03</v>
      </c>
      <c r="H192" s="635"/>
      <c r="I192" s="21">
        <f t="shared" si="36"/>
        <v>0.05</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0.09</v>
      </c>
      <c r="F193" s="635"/>
      <c r="G193" s="21">
        <f t="shared" si="35"/>
        <v>0.03</v>
      </c>
      <c r="H193" s="635"/>
      <c r="I193" s="21">
        <f t="shared" si="36"/>
        <v>0.05</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0.09</v>
      </c>
      <c r="F194" s="635"/>
      <c r="G194" s="21">
        <f t="shared" si="35"/>
        <v>0.03</v>
      </c>
      <c r="H194" s="635"/>
      <c r="I194" s="21">
        <f t="shared" si="36"/>
        <v>0.05</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0.09</v>
      </c>
      <c r="F195" s="635"/>
      <c r="G195" s="21">
        <f t="shared" si="35"/>
        <v>0.03</v>
      </c>
      <c r="H195" s="635"/>
      <c r="I195" s="21">
        <f t="shared" si="36"/>
        <v>0.05</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0.09</v>
      </c>
      <c r="F196" s="635"/>
      <c r="G196" s="21">
        <f t="shared" si="35"/>
        <v>0.03</v>
      </c>
      <c r="H196" s="635"/>
      <c r="I196" s="21">
        <f t="shared" si="36"/>
        <v>0.05</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0.09</v>
      </c>
      <c r="F197" s="635"/>
      <c r="G197" s="21">
        <f t="shared" si="35"/>
        <v>0.03</v>
      </c>
      <c r="H197" s="635"/>
      <c r="I197" s="21">
        <f t="shared" si="36"/>
        <v>0.05</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0.09</v>
      </c>
      <c r="F198" s="635"/>
      <c r="G198" s="21">
        <f t="shared" si="35"/>
        <v>0.03</v>
      </c>
      <c r="H198" s="635"/>
      <c r="I198" s="21">
        <f t="shared" si="36"/>
        <v>0.05</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0.09</v>
      </c>
      <c r="F199" s="635"/>
      <c r="G199" s="21">
        <f t="shared" si="35"/>
        <v>0.03</v>
      </c>
      <c r="H199" s="635"/>
      <c r="I199" s="21">
        <f t="shared" si="36"/>
        <v>0.05</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0.09</v>
      </c>
      <c r="F200" s="635"/>
      <c r="G200" s="21">
        <f t="shared" si="35"/>
        <v>0.03</v>
      </c>
      <c r="H200" s="635"/>
      <c r="I200" s="21">
        <f t="shared" si="36"/>
        <v>0.05</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0.09</v>
      </c>
      <c r="F201" s="635"/>
      <c r="G201" s="21">
        <f t="shared" si="35"/>
        <v>0.03</v>
      </c>
      <c r="H201" s="635"/>
      <c r="I201" s="21">
        <f t="shared" si="36"/>
        <v>0.05</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0.09</v>
      </c>
      <c r="F202" s="635"/>
      <c r="G202" s="21">
        <f t="shared" si="35"/>
        <v>0.03</v>
      </c>
      <c r="H202" s="635"/>
      <c r="I202" s="21">
        <f t="shared" si="36"/>
        <v>0.05</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0.09</v>
      </c>
      <c r="F203" s="635"/>
      <c r="G203" s="21">
        <f t="shared" si="35"/>
        <v>0.03</v>
      </c>
      <c r="H203" s="635"/>
      <c r="I203" s="21">
        <f t="shared" si="36"/>
        <v>0.05</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0.09</v>
      </c>
      <c r="F204" s="635"/>
      <c r="G204" s="21">
        <f t="shared" si="35"/>
        <v>0.03</v>
      </c>
      <c r="H204" s="635"/>
      <c r="I204" s="21">
        <f t="shared" si="36"/>
        <v>0.05</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0.09</v>
      </c>
      <c r="F205" s="635"/>
      <c r="G205" s="21">
        <f t="shared" si="35"/>
        <v>0.03</v>
      </c>
      <c r="H205" s="635"/>
      <c r="I205" s="21">
        <f t="shared" si="36"/>
        <v>0.05</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0.09</v>
      </c>
      <c r="F206" s="635"/>
      <c r="G206" s="21">
        <f t="shared" si="35"/>
        <v>0.03</v>
      </c>
      <c r="H206" s="635"/>
      <c r="I206" s="21">
        <f t="shared" si="36"/>
        <v>0.05</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0.09</v>
      </c>
      <c r="F207" s="635"/>
      <c r="G207" s="21">
        <f t="shared" si="35"/>
        <v>0.03</v>
      </c>
      <c r="H207" s="635"/>
      <c r="I207" s="21">
        <f t="shared" si="36"/>
        <v>0.05</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0.09</v>
      </c>
      <c r="F208" s="635"/>
      <c r="G208" s="21">
        <f t="shared" si="35"/>
        <v>0.03</v>
      </c>
      <c r="H208" s="635"/>
      <c r="I208" s="21">
        <f t="shared" si="36"/>
        <v>0.05</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0.09</v>
      </c>
      <c r="F209" s="635"/>
      <c r="G209" s="21">
        <f t="shared" si="35"/>
        <v>0.03</v>
      </c>
      <c r="H209" s="635"/>
      <c r="I209" s="21">
        <f t="shared" si="36"/>
        <v>0.05</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0.09</v>
      </c>
      <c r="F210" s="635"/>
      <c r="G210" s="21">
        <f t="shared" si="35"/>
        <v>0.03</v>
      </c>
      <c r="H210" s="635"/>
      <c r="I210" s="21">
        <f t="shared" si="36"/>
        <v>0.05</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0.09</v>
      </c>
      <c r="F211" s="635"/>
      <c r="G211" s="21">
        <f t="shared" si="35"/>
        <v>0.03</v>
      </c>
      <c r="H211" s="635"/>
      <c r="I211" s="21">
        <f t="shared" si="36"/>
        <v>0.05</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0.09</v>
      </c>
      <c r="F212" s="635"/>
      <c r="G212" s="21">
        <f t="shared" si="35"/>
        <v>0.03</v>
      </c>
      <c r="H212" s="635"/>
      <c r="I212" s="21">
        <f t="shared" si="36"/>
        <v>0.05</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0.09</v>
      </c>
      <c r="F213" s="635"/>
      <c r="G213" s="21">
        <f t="shared" si="35"/>
        <v>0.03</v>
      </c>
      <c r="H213" s="635"/>
      <c r="I213" s="21">
        <f t="shared" si="36"/>
        <v>0.05</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0.09</v>
      </c>
      <c r="F214" s="635"/>
      <c r="G214" s="21">
        <f t="shared" si="35"/>
        <v>0.03</v>
      </c>
      <c r="H214" s="635"/>
      <c r="I214" s="21">
        <f t="shared" si="36"/>
        <v>0.05</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0.09</v>
      </c>
      <c r="F215" s="635"/>
      <c r="G215" s="21">
        <f t="shared" si="35"/>
        <v>0.03</v>
      </c>
      <c r="H215" s="635"/>
      <c r="I215" s="21">
        <f t="shared" si="36"/>
        <v>0.05</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0.09</v>
      </c>
      <c r="F216" s="635"/>
      <c r="G216" s="21">
        <f t="shared" si="35"/>
        <v>0.03</v>
      </c>
      <c r="H216" s="635"/>
      <c r="I216" s="21">
        <f t="shared" si="36"/>
        <v>0.05</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0.09</v>
      </c>
      <c r="F217" s="635"/>
      <c r="G217" s="21">
        <f t="shared" si="35"/>
        <v>0.03</v>
      </c>
      <c r="H217" s="635"/>
      <c r="I217" s="21">
        <f t="shared" si="36"/>
        <v>0.05</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0.09</v>
      </c>
      <c r="F218" s="635"/>
      <c r="G218" s="21">
        <f t="shared" ref="G218:G281" si="45">(SUMIF($7:$7,F218,$8:$8)-SUMIF($7:$7,$F$24,$8:$8)+100)/100</f>
        <v>0.03</v>
      </c>
      <c r="H218" s="635"/>
      <c r="I218" s="21">
        <f t="shared" ref="I218:I281" si="46">(SUMIF($9:$9,H218,$10:$10)-SUMIF($9:$9,$H$24,$10:$10)+100)/100</f>
        <v>0.05</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0.09</v>
      </c>
      <c r="F219" s="635"/>
      <c r="G219" s="21">
        <f t="shared" si="45"/>
        <v>0.03</v>
      </c>
      <c r="H219" s="635"/>
      <c r="I219" s="21">
        <f t="shared" si="46"/>
        <v>0.05</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0.09</v>
      </c>
      <c r="F220" s="635"/>
      <c r="G220" s="21">
        <f t="shared" si="45"/>
        <v>0.03</v>
      </c>
      <c r="H220" s="635"/>
      <c r="I220" s="21">
        <f t="shared" si="46"/>
        <v>0.05</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0.09</v>
      </c>
      <c r="F221" s="635"/>
      <c r="G221" s="21">
        <f t="shared" si="45"/>
        <v>0.03</v>
      </c>
      <c r="H221" s="635"/>
      <c r="I221" s="21">
        <f t="shared" si="46"/>
        <v>0.05</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0.09</v>
      </c>
      <c r="F222" s="635"/>
      <c r="G222" s="21">
        <f t="shared" si="45"/>
        <v>0.03</v>
      </c>
      <c r="H222" s="635"/>
      <c r="I222" s="21">
        <f t="shared" si="46"/>
        <v>0.05</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0.09</v>
      </c>
      <c r="F223" s="635"/>
      <c r="G223" s="21">
        <f t="shared" si="45"/>
        <v>0.03</v>
      </c>
      <c r="H223" s="635"/>
      <c r="I223" s="21">
        <f t="shared" si="46"/>
        <v>0.05</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0.09</v>
      </c>
      <c r="F224" s="635"/>
      <c r="G224" s="21">
        <f t="shared" si="45"/>
        <v>0.03</v>
      </c>
      <c r="H224" s="635"/>
      <c r="I224" s="21">
        <f t="shared" si="46"/>
        <v>0.05</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0.09</v>
      </c>
      <c r="F225" s="635"/>
      <c r="G225" s="21">
        <f t="shared" si="45"/>
        <v>0.03</v>
      </c>
      <c r="H225" s="635"/>
      <c r="I225" s="21">
        <f t="shared" si="46"/>
        <v>0.05</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0.09</v>
      </c>
      <c r="F226" s="635"/>
      <c r="G226" s="21">
        <f t="shared" si="45"/>
        <v>0.03</v>
      </c>
      <c r="H226" s="635"/>
      <c r="I226" s="21">
        <f t="shared" si="46"/>
        <v>0.05</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0.09</v>
      </c>
      <c r="F227" s="635"/>
      <c r="G227" s="21">
        <f t="shared" si="45"/>
        <v>0.03</v>
      </c>
      <c r="H227" s="635"/>
      <c r="I227" s="21">
        <f t="shared" si="46"/>
        <v>0.05</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0.09</v>
      </c>
      <c r="F228" s="635"/>
      <c r="G228" s="21">
        <f t="shared" si="45"/>
        <v>0.03</v>
      </c>
      <c r="H228" s="635"/>
      <c r="I228" s="21">
        <f t="shared" si="46"/>
        <v>0.05</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0.09</v>
      </c>
      <c r="F229" s="635"/>
      <c r="G229" s="21">
        <f t="shared" si="45"/>
        <v>0.03</v>
      </c>
      <c r="H229" s="635"/>
      <c r="I229" s="21">
        <f t="shared" si="46"/>
        <v>0.05</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0.09</v>
      </c>
      <c r="F230" s="635"/>
      <c r="G230" s="21">
        <f t="shared" si="45"/>
        <v>0.03</v>
      </c>
      <c r="H230" s="635"/>
      <c r="I230" s="21">
        <f t="shared" si="46"/>
        <v>0.05</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0.09</v>
      </c>
      <c r="F231" s="635"/>
      <c r="G231" s="21">
        <f t="shared" si="45"/>
        <v>0.03</v>
      </c>
      <c r="H231" s="635"/>
      <c r="I231" s="21">
        <f t="shared" si="46"/>
        <v>0.05</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0.09</v>
      </c>
      <c r="F232" s="635"/>
      <c r="G232" s="21">
        <f t="shared" si="45"/>
        <v>0.03</v>
      </c>
      <c r="H232" s="635"/>
      <c r="I232" s="21">
        <f t="shared" si="46"/>
        <v>0.05</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0.09</v>
      </c>
      <c r="F233" s="635"/>
      <c r="G233" s="21">
        <f t="shared" si="45"/>
        <v>0.03</v>
      </c>
      <c r="H233" s="635"/>
      <c r="I233" s="21">
        <f t="shared" si="46"/>
        <v>0.05</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0.09</v>
      </c>
      <c r="F234" s="635"/>
      <c r="G234" s="21">
        <f t="shared" si="45"/>
        <v>0.03</v>
      </c>
      <c r="H234" s="635"/>
      <c r="I234" s="21">
        <f t="shared" si="46"/>
        <v>0.05</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0.09</v>
      </c>
      <c r="F235" s="635"/>
      <c r="G235" s="21">
        <f t="shared" si="45"/>
        <v>0.03</v>
      </c>
      <c r="H235" s="635"/>
      <c r="I235" s="21">
        <f t="shared" si="46"/>
        <v>0.05</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0.09</v>
      </c>
      <c r="F236" s="635"/>
      <c r="G236" s="21">
        <f t="shared" si="45"/>
        <v>0.03</v>
      </c>
      <c r="H236" s="635"/>
      <c r="I236" s="21">
        <f t="shared" si="46"/>
        <v>0.05</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0.09</v>
      </c>
      <c r="F237" s="635"/>
      <c r="G237" s="21">
        <f t="shared" si="45"/>
        <v>0.03</v>
      </c>
      <c r="H237" s="635"/>
      <c r="I237" s="21">
        <f t="shared" si="46"/>
        <v>0.05</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0.09</v>
      </c>
      <c r="F238" s="635"/>
      <c r="G238" s="21">
        <f t="shared" si="45"/>
        <v>0.03</v>
      </c>
      <c r="H238" s="635"/>
      <c r="I238" s="21">
        <f t="shared" si="46"/>
        <v>0.05</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0.09</v>
      </c>
      <c r="F239" s="635"/>
      <c r="G239" s="21">
        <f t="shared" si="45"/>
        <v>0.03</v>
      </c>
      <c r="H239" s="635"/>
      <c r="I239" s="21">
        <f t="shared" si="46"/>
        <v>0.05</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0.09</v>
      </c>
      <c r="F240" s="635"/>
      <c r="G240" s="21">
        <f t="shared" si="45"/>
        <v>0.03</v>
      </c>
      <c r="H240" s="635"/>
      <c r="I240" s="21">
        <f t="shared" si="46"/>
        <v>0.05</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0.09</v>
      </c>
      <c r="F241" s="635"/>
      <c r="G241" s="21">
        <f t="shared" si="45"/>
        <v>0.03</v>
      </c>
      <c r="H241" s="635"/>
      <c r="I241" s="21">
        <f t="shared" si="46"/>
        <v>0.05</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0.09</v>
      </c>
      <c r="F242" s="635"/>
      <c r="G242" s="21">
        <f t="shared" si="45"/>
        <v>0.03</v>
      </c>
      <c r="H242" s="635"/>
      <c r="I242" s="21">
        <f t="shared" si="46"/>
        <v>0.05</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0.09</v>
      </c>
      <c r="F243" s="635"/>
      <c r="G243" s="21">
        <f t="shared" si="45"/>
        <v>0.03</v>
      </c>
      <c r="H243" s="635"/>
      <c r="I243" s="21">
        <f t="shared" si="46"/>
        <v>0.05</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0.09</v>
      </c>
      <c r="F244" s="635"/>
      <c r="G244" s="21">
        <f t="shared" si="45"/>
        <v>0.03</v>
      </c>
      <c r="H244" s="635"/>
      <c r="I244" s="21">
        <f t="shared" si="46"/>
        <v>0.05</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0.09</v>
      </c>
      <c r="F245" s="635"/>
      <c r="G245" s="21">
        <f t="shared" si="45"/>
        <v>0.03</v>
      </c>
      <c r="H245" s="635"/>
      <c r="I245" s="21">
        <f t="shared" si="46"/>
        <v>0.05</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0.09</v>
      </c>
      <c r="F246" s="635"/>
      <c r="G246" s="21">
        <f t="shared" si="45"/>
        <v>0.03</v>
      </c>
      <c r="H246" s="635"/>
      <c r="I246" s="21">
        <f t="shared" si="46"/>
        <v>0.05</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0.09</v>
      </c>
      <c r="F247" s="635"/>
      <c r="G247" s="21">
        <f t="shared" si="45"/>
        <v>0.03</v>
      </c>
      <c r="H247" s="635"/>
      <c r="I247" s="21">
        <f t="shared" si="46"/>
        <v>0.05</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0.09</v>
      </c>
      <c r="F248" s="635"/>
      <c r="G248" s="21">
        <f t="shared" si="45"/>
        <v>0.03</v>
      </c>
      <c r="H248" s="635"/>
      <c r="I248" s="21">
        <f t="shared" si="46"/>
        <v>0.05</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0.09</v>
      </c>
      <c r="F249" s="635"/>
      <c r="G249" s="21">
        <f t="shared" si="45"/>
        <v>0.03</v>
      </c>
      <c r="H249" s="635"/>
      <c r="I249" s="21">
        <f t="shared" si="46"/>
        <v>0.05</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0.09</v>
      </c>
      <c r="F250" s="635"/>
      <c r="G250" s="21">
        <f t="shared" si="45"/>
        <v>0.03</v>
      </c>
      <c r="H250" s="635"/>
      <c r="I250" s="21">
        <f t="shared" si="46"/>
        <v>0.05</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0.09</v>
      </c>
      <c r="F251" s="635"/>
      <c r="G251" s="21">
        <f t="shared" si="45"/>
        <v>0.03</v>
      </c>
      <c r="H251" s="635"/>
      <c r="I251" s="21">
        <f t="shared" si="46"/>
        <v>0.05</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0.09</v>
      </c>
      <c r="F252" s="635"/>
      <c r="G252" s="21">
        <f t="shared" si="45"/>
        <v>0.03</v>
      </c>
      <c r="H252" s="635"/>
      <c r="I252" s="21">
        <f t="shared" si="46"/>
        <v>0.05</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0.09</v>
      </c>
      <c r="F253" s="635"/>
      <c r="G253" s="21">
        <f t="shared" si="45"/>
        <v>0.03</v>
      </c>
      <c r="H253" s="635"/>
      <c r="I253" s="21">
        <f t="shared" si="46"/>
        <v>0.05</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0.09</v>
      </c>
      <c r="F254" s="635"/>
      <c r="G254" s="21">
        <f t="shared" si="45"/>
        <v>0.03</v>
      </c>
      <c r="H254" s="635"/>
      <c r="I254" s="21">
        <f t="shared" si="46"/>
        <v>0.05</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0.09</v>
      </c>
      <c r="F255" s="635"/>
      <c r="G255" s="21">
        <f t="shared" si="45"/>
        <v>0.03</v>
      </c>
      <c r="H255" s="635"/>
      <c r="I255" s="21">
        <f t="shared" si="46"/>
        <v>0.05</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0.09</v>
      </c>
      <c r="F256" s="635"/>
      <c r="G256" s="21">
        <f t="shared" si="45"/>
        <v>0.03</v>
      </c>
      <c r="H256" s="635"/>
      <c r="I256" s="21">
        <f t="shared" si="46"/>
        <v>0.05</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0.09</v>
      </c>
      <c r="F257" s="635"/>
      <c r="G257" s="21">
        <f t="shared" si="45"/>
        <v>0.03</v>
      </c>
      <c r="H257" s="635"/>
      <c r="I257" s="21">
        <f t="shared" si="46"/>
        <v>0.05</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0.09</v>
      </c>
      <c r="F258" s="635"/>
      <c r="G258" s="21">
        <f t="shared" si="45"/>
        <v>0.03</v>
      </c>
      <c r="H258" s="635"/>
      <c r="I258" s="21">
        <f t="shared" si="46"/>
        <v>0.05</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0.09</v>
      </c>
      <c r="F259" s="635"/>
      <c r="G259" s="21">
        <f t="shared" si="45"/>
        <v>0.03</v>
      </c>
      <c r="H259" s="635"/>
      <c r="I259" s="21">
        <f t="shared" si="46"/>
        <v>0.05</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0.09</v>
      </c>
      <c r="F260" s="635"/>
      <c r="G260" s="21">
        <f t="shared" si="45"/>
        <v>0.03</v>
      </c>
      <c r="H260" s="635"/>
      <c r="I260" s="21">
        <f t="shared" si="46"/>
        <v>0.05</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0.09</v>
      </c>
      <c r="F261" s="635"/>
      <c r="G261" s="21">
        <f t="shared" si="45"/>
        <v>0.03</v>
      </c>
      <c r="H261" s="635"/>
      <c r="I261" s="21">
        <f t="shared" si="46"/>
        <v>0.05</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0.09</v>
      </c>
      <c r="F262" s="635"/>
      <c r="G262" s="21">
        <f t="shared" si="45"/>
        <v>0.03</v>
      </c>
      <c r="H262" s="635"/>
      <c r="I262" s="21">
        <f t="shared" si="46"/>
        <v>0.05</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0.09</v>
      </c>
      <c r="F263" s="635"/>
      <c r="G263" s="21">
        <f t="shared" si="45"/>
        <v>0.03</v>
      </c>
      <c r="H263" s="635"/>
      <c r="I263" s="21">
        <f t="shared" si="46"/>
        <v>0.05</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0.09</v>
      </c>
      <c r="F264" s="635"/>
      <c r="G264" s="21">
        <f t="shared" si="45"/>
        <v>0.03</v>
      </c>
      <c r="H264" s="635"/>
      <c r="I264" s="21">
        <f t="shared" si="46"/>
        <v>0.05</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0.09</v>
      </c>
      <c r="F265" s="635"/>
      <c r="G265" s="21">
        <f t="shared" si="45"/>
        <v>0.03</v>
      </c>
      <c r="H265" s="635"/>
      <c r="I265" s="21">
        <f t="shared" si="46"/>
        <v>0.05</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0.09</v>
      </c>
      <c r="F266" s="635"/>
      <c r="G266" s="21">
        <f t="shared" si="45"/>
        <v>0.03</v>
      </c>
      <c r="H266" s="635"/>
      <c r="I266" s="21">
        <f t="shared" si="46"/>
        <v>0.05</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0.09</v>
      </c>
      <c r="F267" s="635"/>
      <c r="G267" s="21">
        <f t="shared" si="45"/>
        <v>0.03</v>
      </c>
      <c r="H267" s="635"/>
      <c r="I267" s="21">
        <f t="shared" si="46"/>
        <v>0.05</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0.09</v>
      </c>
      <c r="F268" s="635"/>
      <c r="G268" s="21">
        <f t="shared" si="45"/>
        <v>0.03</v>
      </c>
      <c r="H268" s="635"/>
      <c r="I268" s="21">
        <f t="shared" si="46"/>
        <v>0.05</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0.09</v>
      </c>
      <c r="F269" s="635"/>
      <c r="G269" s="21">
        <f t="shared" si="45"/>
        <v>0.03</v>
      </c>
      <c r="H269" s="635"/>
      <c r="I269" s="21">
        <f t="shared" si="46"/>
        <v>0.05</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0.09</v>
      </c>
      <c r="F270" s="635"/>
      <c r="G270" s="21">
        <f t="shared" si="45"/>
        <v>0.03</v>
      </c>
      <c r="H270" s="635"/>
      <c r="I270" s="21">
        <f t="shared" si="46"/>
        <v>0.05</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0.09</v>
      </c>
      <c r="F271" s="635"/>
      <c r="G271" s="21">
        <f t="shared" si="45"/>
        <v>0.03</v>
      </c>
      <c r="H271" s="635"/>
      <c r="I271" s="21">
        <f t="shared" si="46"/>
        <v>0.05</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0.09</v>
      </c>
      <c r="F272" s="635"/>
      <c r="G272" s="21">
        <f t="shared" si="45"/>
        <v>0.03</v>
      </c>
      <c r="H272" s="635"/>
      <c r="I272" s="21">
        <f t="shared" si="46"/>
        <v>0.05</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0.09</v>
      </c>
      <c r="F273" s="635"/>
      <c r="G273" s="21">
        <f t="shared" si="45"/>
        <v>0.03</v>
      </c>
      <c r="H273" s="635"/>
      <c r="I273" s="21">
        <f t="shared" si="46"/>
        <v>0.05</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0.09</v>
      </c>
      <c r="F274" s="635"/>
      <c r="G274" s="21">
        <f t="shared" si="45"/>
        <v>0.03</v>
      </c>
      <c r="H274" s="635"/>
      <c r="I274" s="21">
        <f t="shared" si="46"/>
        <v>0.05</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0.09</v>
      </c>
      <c r="F275" s="635"/>
      <c r="G275" s="21">
        <f t="shared" si="45"/>
        <v>0.03</v>
      </c>
      <c r="H275" s="635"/>
      <c r="I275" s="21">
        <f t="shared" si="46"/>
        <v>0.05</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0.09</v>
      </c>
      <c r="F276" s="635"/>
      <c r="G276" s="21">
        <f t="shared" si="45"/>
        <v>0.03</v>
      </c>
      <c r="H276" s="635"/>
      <c r="I276" s="21">
        <f t="shared" si="46"/>
        <v>0.05</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0.09</v>
      </c>
      <c r="F277" s="635"/>
      <c r="G277" s="21">
        <f t="shared" si="45"/>
        <v>0.03</v>
      </c>
      <c r="H277" s="635"/>
      <c r="I277" s="21">
        <f t="shared" si="46"/>
        <v>0.05</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0.09</v>
      </c>
      <c r="F278" s="635"/>
      <c r="G278" s="21">
        <f t="shared" si="45"/>
        <v>0.03</v>
      </c>
      <c r="H278" s="635"/>
      <c r="I278" s="21">
        <f t="shared" si="46"/>
        <v>0.05</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0.09</v>
      </c>
      <c r="F279" s="635"/>
      <c r="G279" s="21">
        <f t="shared" si="45"/>
        <v>0.03</v>
      </c>
      <c r="H279" s="635"/>
      <c r="I279" s="21">
        <f t="shared" si="46"/>
        <v>0.05</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0.09</v>
      </c>
      <c r="F280" s="635"/>
      <c r="G280" s="21">
        <f t="shared" si="45"/>
        <v>0.03</v>
      </c>
      <c r="H280" s="635"/>
      <c r="I280" s="21">
        <f t="shared" si="46"/>
        <v>0.05</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0.09</v>
      </c>
      <c r="F281" s="635"/>
      <c r="G281" s="21">
        <f t="shared" si="45"/>
        <v>0.03</v>
      </c>
      <c r="H281" s="635"/>
      <c r="I281" s="21">
        <f t="shared" si="46"/>
        <v>0.05</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0.09</v>
      </c>
      <c r="F282" s="635"/>
      <c r="G282" s="21">
        <f t="shared" ref="G282:G345" si="55">(SUMIF($7:$7,F282,$8:$8)-SUMIF($7:$7,$F$24,$8:$8)+100)/100</f>
        <v>0.03</v>
      </c>
      <c r="H282" s="635"/>
      <c r="I282" s="21">
        <f t="shared" ref="I282:I345" si="56">(SUMIF($9:$9,H282,$10:$10)-SUMIF($9:$9,$H$24,$10:$10)+100)/100</f>
        <v>0.05</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0.09</v>
      </c>
      <c r="F283" s="635"/>
      <c r="G283" s="21">
        <f t="shared" si="55"/>
        <v>0.03</v>
      </c>
      <c r="H283" s="635"/>
      <c r="I283" s="21">
        <f t="shared" si="56"/>
        <v>0.05</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0.09</v>
      </c>
      <c r="F284" s="635"/>
      <c r="G284" s="21">
        <f t="shared" si="55"/>
        <v>0.03</v>
      </c>
      <c r="H284" s="635"/>
      <c r="I284" s="21">
        <f t="shared" si="56"/>
        <v>0.05</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0.09</v>
      </c>
      <c r="F285" s="635"/>
      <c r="G285" s="21">
        <f t="shared" si="55"/>
        <v>0.03</v>
      </c>
      <c r="H285" s="635"/>
      <c r="I285" s="21">
        <f t="shared" si="56"/>
        <v>0.05</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0.09</v>
      </c>
      <c r="F286" s="635"/>
      <c r="G286" s="21">
        <f t="shared" si="55"/>
        <v>0.03</v>
      </c>
      <c r="H286" s="635"/>
      <c r="I286" s="21">
        <f t="shared" si="56"/>
        <v>0.05</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0.09</v>
      </c>
      <c r="F287" s="635"/>
      <c r="G287" s="21">
        <f t="shared" si="55"/>
        <v>0.03</v>
      </c>
      <c r="H287" s="635"/>
      <c r="I287" s="21">
        <f t="shared" si="56"/>
        <v>0.05</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0.09</v>
      </c>
      <c r="F288" s="635"/>
      <c r="G288" s="21">
        <f t="shared" si="55"/>
        <v>0.03</v>
      </c>
      <c r="H288" s="635"/>
      <c r="I288" s="21">
        <f t="shared" si="56"/>
        <v>0.05</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0.09</v>
      </c>
      <c r="F289" s="635"/>
      <c r="G289" s="21">
        <f t="shared" si="55"/>
        <v>0.03</v>
      </c>
      <c r="H289" s="635"/>
      <c r="I289" s="21">
        <f t="shared" si="56"/>
        <v>0.05</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0.09</v>
      </c>
      <c r="F290" s="635"/>
      <c r="G290" s="21">
        <f t="shared" si="55"/>
        <v>0.03</v>
      </c>
      <c r="H290" s="635"/>
      <c r="I290" s="21">
        <f t="shared" si="56"/>
        <v>0.05</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0.09</v>
      </c>
      <c r="F291" s="635"/>
      <c r="G291" s="21">
        <f t="shared" si="55"/>
        <v>0.03</v>
      </c>
      <c r="H291" s="635"/>
      <c r="I291" s="21">
        <f t="shared" si="56"/>
        <v>0.05</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0.09</v>
      </c>
      <c r="F292" s="635"/>
      <c r="G292" s="21">
        <f t="shared" si="55"/>
        <v>0.03</v>
      </c>
      <c r="H292" s="635"/>
      <c r="I292" s="21">
        <f t="shared" si="56"/>
        <v>0.05</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0.09</v>
      </c>
      <c r="F293" s="635"/>
      <c r="G293" s="21">
        <f t="shared" si="55"/>
        <v>0.03</v>
      </c>
      <c r="H293" s="635"/>
      <c r="I293" s="21">
        <f t="shared" si="56"/>
        <v>0.05</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0.09</v>
      </c>
      <c r="F294" s="635"/>
      <c r="G294" s="21">
        <f t="shared" si="55"/>
        <v>0.03</v>
      </c>
      <c r="H294" s="635"/>
      <c r="I294" s="21">
        <f t="shared" si="56"/>
        <v>0.05</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0.09</v>
      </c>
      <c r="F295" s="635"/>
      <c r="G295" s="21">
        <f t="shared" si="55"/>
        <v>0.03</v>
      </c>
      <c r="H295" s="635"/>
      <c r="I295" s="21">
        <f t="shared" si="56"/>
        <v>0.05</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0.09</v>
      </c>
      <c r="F296" s="635"/>
      <c r="G296" s="21">
        <f t="shared" si="55"/>
        <v>0.03</v>
      </c>
      <c r="H296" s="635"/>
      <c r="I296" s="21">
        <f t="shared" si="56"/>
        <v>0.05</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0.09</v>
      </c>
      <c r="F297" s="635"/>
      <c r="G297" s="21">
        <f t="shared" si="55"/>
        <v>0.03</v>
      </c>
      <c r="H297" s="635"/>
      <c r="I297" s="21">
        <f t="shared" si="56"/>
        <v>0.05</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0.09</v>
      </c>
      <c r="F298" s="635"/>
      <c r="G298" s="21">
        <f t="shared" si="55"/>
        <v>0.03</v>
      </c>
      <c r="H298" s="635"/>
      <c r="I298" s="21">
        <f t="shared" si="56"/>
        <v>0.05</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0.09</v>
      </c>
      <c r="F299" s="635"/>
      <c r="G299" s="21">
        <f t="shared" si="55"/>
        <v>0.03</v>
      </c>
      <c r="H299" s="635"/>
      <c r="I299" s="21">
        <f t="shared" si="56"/>
        <v>0.05</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0.09</v>
      </c>
      <c r="F300" s="635"/>
      <c r="G300" s="21">
        <f t="shared" si="55"/>
        <v>0.03</v>
      </c>
      <c r="H300" s="635"/>
      <c r="I300" s="21">
        <f t="shared" si="56"/>
        <v>0.05</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0.09</v>
      </c>
      <c r="F301" s="635"/>
      <c r="G301" s="21">
        <f t="shared" si="55"/>
        <v>0.03</v>
      </c>
      <c r="H301" s="635"/>
      <c r="I301" s="21">
        <f t="shared" si="56"/>
        <v>0.05</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0.09</v>
      </c>
      <c r="F302" s="635"/>
      <c r="G302" s="21">
        <f t="shared" si="55"/>
        <v>0.03</v>
      </c>
      <c r="H302" s="635"/>
      <c r="I302" s="21">
        <f t="shared" si="56"/>
        <v>0.05</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0.09</v>
      </c>
      <c r="F303" s="635"/>
      <c r="G303" s="21">
        <f t="shared" si="55"/>
        <v>0.03</v>
      </c>
      <c r="H303" s="635"/>
      <c r="I303" s="21">
        <f t="shared" si="56"/>
        <v>0.05</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0.09</v>
      </c>
      <c r="F304" s="635"/>
      <c r="G304" s="21">
        <f t="shared" si="55"/>
        <v>0.03</v>
      </c>
      <c r="H304" s="635"/>
      <c r="I304" s="21">
        <f t="shared" si="56"/>
        <v>0.05</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0.09</v>
      </c>
      <c r="F305" s="635"/>
      <c r="G305" s="21">
        <f t="shared" si="55"/>
        <v>0.03</v>
      </c>
      <c r="H305" s="635"/>
      <c r="I305" s="21">
        <f t="shared" si="56"/>
        <v>0.05</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0.09</v>
      </c>
      <c r="F306" s="635"/>
      <c r="G306" s="21">
        <f t="shared" si="55"/>
        <v>0.03</v>
      </c>
      <c r="H306" s="635"/>
      <c r="I306" s="21">
        <f t="shared" si="56"/>
        <v>0.05</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0.09</v>
      </c>
      <c r="F307" s="635"/>
      <c r="G307" s="21">
        <f t="shared" si="55"/>
        <v>0.03</v>
      </c>
      <c r="H307" s="635"/>
      <c r="I307" s="21">
        <f t="shared" si="56"/>
        <v>0.05</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0.09</v>
      </c>
      <c r="F308" s="635"/>
      <c r="G308" s="21">
        <f t="shared" si="55"/>
        <v>0.03</v>
      </c>
      <c r="H308" s="635"/>
      <c r="I308" s="21">
        <f t="shared" si="56"/>
        <v>0.05</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0.09</v>
      </c>
      <c r="F309" s="635"/>
      <c r="G309" s="21">
        <f t="shared" si="55"/>
        <v>0.03</v>
      </c>
      <c r="H309" s="635"/>
      <c r="I309" s="21">
        <f t="shared" si="56"/>
        <v>0.05</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0.09</v>
      </c>
      <c r="F310" s="635"/>
      <c r="G310" s="21">
        <f t="shared" si="55"/>
        <v>0.03</v>
      </c>
      <c r="H310" s="635"/>
      <c r="I310" s="21">
        <f t="shared" si="56"/>
        <v>0.05</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0.09</v>
      </c>
      <c r="F311" s="635"/>
      <c r="G311" s="21">
        <f t="shared" si="55"/>
        <v>0.03</v>
      </c>
      <c r="H311" s="635"/>
      <c r="I311" s="21">
        <f t="shared" si="56"/>
        <v>0.05</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0.09</v>
      </c>
      <c r="F312" s="635"/>
      <c r="G312" s="21">
        <f t="shared" si="55"/>
        <v>0.03</v>
      </c>
      <c r="H312" s="635"/>
      <c r="I312" s="21">
        <f t="shared" si="56"/>
        <v>0.05</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0.09</v>
      </c>
      <c r="F313" s="635"/>
      <c r="G313" s="21">
        <f t="shared" si="55"/>
        <v>0.03</v>
      </c>
      <c r="H313" s="635"/>
      <c r="I313" s="21">
        <f t="shared" si="56"/>
        <v>0.05</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0.09</v>
      </c>
      <c r="F314" s="635"/>
      <c r="G314" s="21">
        <f t="shared" si="55"/>
        <v>0.03</v>
      </c>
      <c r="H314" s="635"/>
      <c r="I314" s="21">
        <f t="shared" si="56"/>
        <v>0.05</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0.09</v>
      </c>
      <c r="F315" s="635"/>
      <c r="G315" s="21">
        <f t="shared" si="55"/>
        <v>0.03</v>
      </c>
      <c r="H315" s="635"/>
      <c r="I315" s="21">
        <f t="shared" si="56"/>
        <v>0.05</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0.09</v>
      </c>
      <c r="F316" s="635"/>
      <c r="G316" s="21">
        <f t="shared" si="55"/>
        <v>0.03</v>
      </c>
      <c r="H316" s="635"/>
      <c r="I316" s="21">
        <f t="shared" si="56"/>
        <v>0.05</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0.09</v>
      </c>
      <c r="F317" s="635"/>
      <c r="G317" s="21">
        <f t="shared" si="55"/>
        <v>0.03</v>
      </c>
      <c r="H317" s="635"/>
      <c r="I317" s="21">
        <f t="shared" si="56"/>
        <v>0.05</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0.09</v>
      </c>
      <c r="F318" s="635"/>
      <c r="G318" s="21">
        <f t="shared" si="55"/>
        <v>0.03</v>
      </c>
      <c r="H318" s="635"/>
      <c r="I318" s="21">
        <f t="shared" si="56"/>
        <v>0.05</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0.09</v>
      </c>
      <c r="F319" s="635"/>
      <c r="G319" s="21">
        <f t="shared" si="55"/>
        <v>0.03</v>
      </c>
      <c r="H319" s="635"/>
      <c r="I319" s="21">
        <f t="shared" si="56"/>
        <v>0.05</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0.09</v>
      </c>
      <c r="F320" s="635"/>
      <c r="G320" s="21">
        <f t="shared" si="55"/>
        <v>0.03</v>
      </c>
      <c r="H320" s="635"/>
      <c r="I320" s="21">
        <f t="shared" si="56"/>
        <v>0.05</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0.09</v>
      </c>
      <c r="F321" s="635"/>
      <c r="G321" s="21">
        <f t="shared" si="55"/>
        <v>0.03</v>
      </c>
      <c r="H321" s="635"/>
      <c r="I321" s="21">
        <f t="shared" si="56"/>
        <v>0.05</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0.09</v>
      </c>
      <c r="F322" s="635"/>
      <c r="G322" s="21">
        <f t="shared" si="55"/>
        <v>0.03</v>
      </c>
      <c r="H322" s="635"/>
      <c r="I322" s="21">
        <f t="shared" si="56"/>
        <v>0.05</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0.09</v>
      </c>
      <c r="F323" s="635"/>
      <c r="G323" s="21">
        <f t="shared" si="55"/>
        <v>0.03</v>
      </c>
      <c r="H323" s="635"/>
      <c r="I323" s="21">
        <f t="shared" si="56"/>
        <v>0.05</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0.09</v>
      </c>
      <c r="F324" s="635"/>
      <c r="G324" s="21">
        <f t="shared" si="55"/>
        <v>0.03</v>
      </c>
      <c r="H324" s="635"/>
      <c r="I324" s="21">
        <f t="shared" si="56"/>
        <v>0.05</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0.09</v>
      </c>
      <c r="F325" s="635"/>
      <c r="G325" s="21">
        <f t="shared" si="55"/>
        <v>0.03</v>
      </c>
      <c r="H325" s="635"/>
      <c r="I325" s="21">
        <f t="shared" si="56"/>
        <v>0.05</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0.09</v>
      </c>
      <c r="F326" s="635"/>
      <c r="G326" s="21">
        <f t="shared" si="55"/>
        <v>0.03</v>
      </c>
      <c r="H326" s="635"/>
      <c r="I326" s="21">
        <f t="shared" si="56"/>
        <v>0.05</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0.09</v>
      </c>
      <c r="F327" s="635"/>
      <c r="G327" s="21">
        <f t="shared" si="55"/>
        <v>0.03</v>
      </c>
      <c r="H327" s="635"/>
      <c r="I327" s="21">
        <f t="shared" si="56"/>
        <v>0.05</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0.09</v>
      </c>
      <c r="F328" s="635"/>
      <c r="G328" s="21">
        <f t="shared" si="55"/>
        <v>0.03</v>
      </c>
      <c r="H328" s="635"/>
      <c r="I328" s="21">
        <f t="shared" si="56"/>
        <v>0.05</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0.09</v>
      </c>
      <c r="F329" s="635"/>
      <c r="G329" s="21">
        <f t="shared" si="55"/>
        <v>0.03</v>
      </c>
      <c r="H329" s="635"/>
      <c r="I329" s="21">
        <f t="shared" si="56"/>
        <v>0.05</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0.09</v>
      </c>
      <c r="F330" s="635"/>
      <c r="G330" s="21">
        <f t="shared" si="55"/>
        <v>0.03</v>
      </c>
      <c r="H330" s="635"/>
      <c r="I330" s="21">
        <f t="shared" si="56"/>
        <v>0.05</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0.09</v>
      </c>
      <c r="F331" s="635"/>
      <c r="G331" s="21">
        <f t="shared" si="55"/>
        <v>0.03</v>
      </c>
      <c r="H331" s="635"/>
      <c r="I331" s="21">
        <f t="shared" si="56"/>
        <v>0.05</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0.09</v>
      </c>
      <c r="F332" s="635"/>
      <c r="G332" s="21">
        <f t="shared" si="55"/>
        <v>0.03</v>
      </c>
      <c r="H332" s="635"/>
      <c r="I332" s="21">
        <f t="shared" si="56"/>
        <v>0.05</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0.09</v>
      </c>
      <c r="F333" s="635"/>
      <c r="G333" s="21">
        <f t="shared" si="55"/>
        <v>0.03</v>
      </c>
      <c r="H333" s="635"/>
      <c r="I333" s="21">
        <f t="shared" si="56"/>
        <v>0.05</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0.09</v>
      </c>
      <c r="F334" s="635"/>
      <c r="G334" s="21">
        <f t="shared" si="55"/>
        <v>0.03</v>
      </c>
      <c r="H334" s="635"/>
      <c r="I334" s="21">
        <f t="shared" si="56"/>
        <v>0.05</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0.09</v>
      </c>
      <c r="F335" s="635"/>
      <c r="G335" s="21">
        <f t="shared" si="55"/>
        <v>0.03</v>
      </c>
      <c r="H335" s="635"/>
      <c r="I335" s="21">
        <f t="shared" si="56"/>
        <v>0.05</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0.09</v>
      </c>
      <c r="F336" s="635"/>
      <c r="G336" s="21">
        <f t="shared" si="55"/>
        <v>0.03</v>
      </c>
      <c r="H336" s="635"/>
      <c r="I336" s="21">
        <f t="shared" si="56"/>
        <v>0.05</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0.09</v>
      </c>
      <c r="F337" s="635"/>
      <c r="G337" s="21">
        <f t="shared" si="55"/>
        <v>0.03</v>
      </c>
      <c r="H337" s="635"/>
      <c r="I337" s="21">
        <f t="shared" si="56"/>
        <v>0.05</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0.09</v>
      </c>
      <c r="F338" s="635"/>
      <c r="G338" s="21">
        <f t="shared" si="55"/>
        <v>0.03</v>
      </c>
      <c r="H338" s="635"/>
      <c r="I338" s="21">
        <f t="shared" si="56"/>
        <v>0.05</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0.09</v>
      </c>
      <c r="F339" s="635"/>
      <c r="G339" s="21">
        <f t="shared" si="55"/>
        <v>0.03</v>
      </c>
      <c r="H339" s="635"/>
      <c r="I339" s="21">
        <f t="shared" si="56"/>
        <v>0.05</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0.09</v>
      </c>
      <c r="F340" s="635"/>
      <c r="G340" s="21">
        <f t="shared" si="55"/>
        <v>0.03</v>
      </c>
      <c r="H340" s="635"/>
      <c r="I340" s="21">
        <f t="shared" si="56"/>
        <v>0.05</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0.09</v>
      </c>
      <c r="F341" s="635"/>
      <c r="G341" s="21">
        <f t="shared" si="55"/>
        <v>0.03</v>
      </c>
      <c r="H341" s="635"/>
      <c r="I341" s="21">
        <f t="shared" si="56"/>
        <v>0.05</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0.09</v>
      </c>
      <c r="F342" s="635"/>
      <c r="G342" s="21">
        <f t="shared" si="55"/>
        <v>0.03</v>
      </c>
      <c r="H342" s="635"/>
      <c r="I342" s="21">
        <f t="shared" si="56"/>
        <v>0.05</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0.09</v>
      </c>
      <c r="F343" s="635"/>
      <c r="G343" s="21">
        <f t="shared" si="55"/>
        <v>0.03</v>
      </c>
      <c r="H343" s="635"/>
      <c r="I343" s="21">
        <f t="shared" si="56"/>
        <v>0.05</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0.09</v>
      </c>
      <c r="F344" s="635"/>
      <c r="G344" s="21">
        <f t="shared" si="55"/>
        <v>0.03</v>
      </c>
      <c r="H344" s="635"/>
      <c r="I344" s="21">
        <f t="shared" si="56"/>
        <v>0.05</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0.09</v>
      </c>
      <c r="F345" s="635"/>
      <c r="G345" s="21">
        <f t="shared" si="55"/>
        <v>0.03</v>
      </c>
      <c r="H345" s="635"/>
      <c r="I345" s="21">
        <f t="shared" si="56"/>
        <v>0.05</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0.09</v>
      </c>
      <c r="F346" s="635"/>
      <c r="G346" s="21">
        <f t="shared" ref="G346:G409" si="66">(SUMIF($7:$7,F346,$8:$8)-SUMIF($7:$7,$F$24,$8:$8)+100)/100</f>
        <v>0.03</v>
      </c>
      <c r="H346" s="635"/>
      <c r="I346" s="21">
        <f t="shared" ref="I346:I409" si="67">(SUMIF($9:$9,H346,$10:$10)-SUMIF($9:$9,$H$24,$10:$10)+100)/100</f>
        <v>0.05</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0.09</v>
      </c>
      <c r="F347" s="635"/>
      <c r="G347" s="21">
        <f t="shared" si="66"/>
        <v>0.03</v>
      </c>
      <c r="H347" s="635"/>
      <c r="I347" s="21">
        <f t="shared" si="67"/>
        <v>0.05</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0.09</v>
      </c>
      <c r="F348" s="635"/>
      <c r="G348" s="21">
        <f t="shared" si="66"/>
        <v>0.03</v>
      </c>
      <c r="H348" s="635"/>
      <c r="I348" s="21">
        <f t="shared" si="67"/>
        <v>0.05</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0.09</v>
      </c>
      <c r="F349" s="635"/>
      <c r="G349" s="21">
        <f t="shared" si="66"/>
        <v>0.03</v>
      </c>
      <c r="H349" s="635"/>
      <c r="I349" s="21">
        <f t="shared" si="67"/>
        <v>0.05</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0.09</v>
      </c>
      <c r="F350" s="635"/>
      <c r="G350" s="21">
        <f t="shared" si="66"/>
        <v>0.03</v>
      </c>
      <c r="H350" s="635"/>
      <c r="I350" s="21">
        <f t="shared" si="67"/>
        <v>0.05</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0.09</v>
      </c>
      <c r="F351" s="635"/>
      <c r="G351" s="21">
        <f t="shared" si="66"/>
        <v>0.03</v>
      </c>
      <c r="H351" s="635"/>
      <c r="I351" s="21">
        <f t="shared" si="67"/>
        <v>0.05</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0.09</v>
      </c>
      <c r="F352" s="635"/>
      <c r="G352" s="21">
        <f t="shared" si="66"/>
        <v>0.03</v>
      </c>
      <c r="H352" s="635"/>
      <c r="I352" s="21">
        <f t="shared" si="67"/>
        <v>0.05</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0.09</v>
      </c>
      <c r="F353" s="635"/>
      <c r="G353" s="21">
        <f t="shared" si="66"/>
        <v>0.03</v>
      </c>
      <c r="H353" s="635"/>
      <c r="I353" s="21">
        <f t="shared" si="67"/>
        <v>0.05</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0.09</v>
      </c>
      <c r="F354" s="635"/>
      <c r="G354" s="21">
        <f t="shared" si="66"/>
        <v>0.03</v>
      </c>
      <c r="H354" s="635"/>
      <c r="I354" s="21">
        <f t="shared" si="67"/>
        <v>0.05</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0.09</v>
      </c>
      <c r="F355" s="635"/>
      <c r="G355" s="21">
        <f t="shared" si="66"/>
        <v>0.03</v>
      </c>
      <c r="H355" s="635"/>
      <c r="I355" s="21">
        <f t="shared" si="67"/>
        <v>0.05</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0.09</v>
      </c>
      <c r="F356" s="635"/>
      <c r="G356" s="21">
        <f t="shared" si="66"/>
        <v>0.03</v>
      </c>
      <c r="H356" s="635"/>
      <c r="I356" s="21">
        <f t="shared" si="67"/>
        <v>0.05</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0.09</v>
      </c>
      <c r="F357" s="635"/>
      <c r="G357" s="21">
        <f t="shared" si="66"/>
        <v>0.03</v>
      </c>
      <c r="H357" s="635"/>
      <c r="I357" s="21">
        <f t="shared" si="67"/>
        <v>0.05</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0.09</v>
      </c>
      <c r="F358" s="635"/>
      <c r="G358" s="21">
        <f t="shared" si="66"/>
        <v>0.03</v>
      </c>
      <c r="H358" s="635"/>
      <c r="I358" s="21">
        <f t="shared" si="67"/>
        <v>0.05</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0.09</v>
      </c>
      <c r="F359" s="635"/>
      <c r="G359" s="21">
        <f t="shared" si="66"/>
        <v>0.03</v>
      </c>
      <c r="H359" s="635"/>
      <c r="I359" s="21">
        <f t="shared" si="67"/>
        <v>0.05</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0.09</v>
      </c>
      <c r="F360" s="635"/>
      <c r="G360" s="21">
        <f t="shared" si="66"/>
        <v>0.03</v>
      </c>
      <c r="H360" s="635"/>
      <c r="I360" s="21">
        <f t="shared" si="67"/>
        <v>0.05</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0.09</v>
      </c>
      <c r="F361" s="635"/>
      <c r="G361" s="21">
        <f t="shared" si="66"/>
        <v>0.03</v>
      </c>
      <c r="H361" s="635"/>
      <c r="I361" s="21">
        <f t="shared" si="67"/>
        <v>0.05</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0.09</v>
      </c>
      <c r="F362" s="635"/>
      <c r="G362" s="21">
        <f t="shared" si="66"/>
        <v>0.03</v>
      </c>
      <c r="H362" s="635"/>
      <c r="I362" s="21">
        <f t="shared" si="67"/>
        <v>0.05</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0.09</v>
      </c>
      <c r="F363" s="635"/>
      <c r="G363" s="21">
        <f t="shared" si="66"/>
        <v>0.03</v>
      </c>
      <c r="H363" s="635"/>
      <c r="I363" s="21">
        <f t="shared" si="67"/>
        <v>0.05</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0.09</v>
      </c>
      <c r="F364" s="635"/>
      <c r="G364" s="21">
        <f t="shared" si="66"/>
        <v>0.03</v>
      </c>
      <c r="H364" s="635"/>
      <c r="I364" s="21">
        <f t="shared" si="67"/>
        <v>0.05</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0.09</v>
      </c>
      <c r="F365" s="635"/>
      <c r="G365" s="21">
        <f t="shared" si="66"/>
        <v>0.03</v>
      </c>
      <c r="H365" s="635"/>
      <c r="I365" s="21">
        <f t="shared" si="67"/>
        <v>0.05</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0.09</v>
      </c>
      <c r="F366" s="635"/>
      <c r="G366" s="21">
        <f t="shared" si="66"/>
        <v>0.03</v>
      </c>
      <c r="H366" s="635"/>
      <c r="I366" s="21">
        <f t="shared" si="67"/>
        <v>0.05</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0.09</v>
      </c>
      <c r="F367" s="635"/>
      <c r="G367" s="21">
        <f t="shared" si="66"/>
        <v>0.03</v>
      </c>
      <c r="H367" s="635"/>
      <c r="I367" s="21">
        <f t="shared" si="67"/>
        <v>0.05</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0.09</v>
      </c>
      <c r="F368" s="635"/>
      <c r="G368" s="21">
        <f t="shared" si="66"/>
        <v>0.03</v>
      </c>
      <c r="H368" s="635"/>
      <c r="I368" s="21">
        <f t="shared" si="67"/>
        <v>0.05</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0.09</v>
      </c>
      <c r="F369" s="635"/>
      <c r="G369" s="21">
        <f t="shared" si="66"/>
        <v>0.03</v>
      </c>
      <c r="H369" s="635"/>
      <c r="I369" s="21">
        <f t="shared" si="67"/>
        <v>0.05</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0.09</v>
      </c>
      <c r="F370" s="635"/>
      <c r="G370" s="21">
        <f t="shared" si="66"/>
        <v>0.03</v>
      </c>
      <c r="H370" s="635"/>
      <c r="I370" s="21">
        <f t="shared" si="67"/>
        <v>0.05</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0.09</v>
      </c>
      <c r="F371" s="635"/>
      <c r="G371" s="21">
        <f t="shared" si="66"/>
        <v>0.03</v>
      </c>
      <c r="H371" s="635"/>
      <c r="I371" s="21">
        <f t="shared" si="67"/>
        <v>0.05</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0.09</v>
      </c>
      <c r="F372" s="635"/>
      <c r="G372" s="21">
        <f t="shared" si="66"/>
        <v>0.03</v>
      </c>
      <c r="H372" s="635"/>
      <c r="I372" s="21">
        <f t="shared" si="67"/>
        <v>0.05</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0.09</v>
      </c>
      <c r="F373" s="635"/>
      <c r="G373" s="21">
        <f t="shared" si="66"/>
        <v>0.03</v>
      </c>
      <c r="H373" s="635"/>
      <c r="I373" s="21">
        <f t="shared" si="67"/>
        <v>0.05</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0.09</v>
      </c>
      <c r="F374" s="635"/>
      <c r="G374" s="21">
        <f t="shared" si="66"/>
        <v>0.03</v>
      </c>
      <c r="H374" s="635"/>
      <c r="I374" s="21">
        <f t="shared" si="67"/>
        <v>0.05</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0.09</v>
      </c>
      <c r="F375" s="635"/>
      <c r="G375" s="21">
        <f t="shared" si="66"/>
        <v>0.03</v>
      </c>
      <c r="H375" s="635"/>
      <c r="I375" s="21">
        <f t="shared" si="67"/>
        <v>0.05</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0.09</v>
      </c>
      <c r="F376" s="635"/>
      <c r="G376" s="21">
        <f t="shared" si="66"/>
        <v>0.03</v>
      </c>
      <c r="H376" s="635"/>
      <c r="I376" s="21">
        <f t="shared" si="67"/>
        <v>0.05</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0.09</v>
      </c>
      <c r="F377" s="635"/>
      <c r="G377" s="21">
        <f t="shared" si="66"/>
        <v>0.03</v>
      </c>
      <c r="H377" s="635"/>
      <c r="I377" s="21">
        <f t="shared" si="67"/>
        <v>0.05</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0.09</v>
      </c>
      <c r="F378" s="635"/>
      <c r="G378" s="21">
        <f t="shared" si="66"/>
        <v>0.03</v>
      </c>
      <c r="H378" s="635"/>
      <c r="I378" s="21">
        <f t="shared" si="67"/>
        <v>0.05</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0.09</v>
      </c>
      <c r="F379" s="635"/>
      <c r="G379" s="21">
        <f t="shared" si="66"/>
        <v>0.03</v>
      </c>
      <c r="H379" s="635"/>
      <c r="I379" s="21">
        <f t="shared" si="67"/>
        <v>0.05</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0.09</v>
      </c>
      <c r="F380" s="635"/>
      <c r="G380" s="21">
        <f t="shared" si="66"/>
        <v>0.03</v>
      </c>
      <c r="H380" s="635"/>
      <c r="I380" s="21">
        <f t="shared" si="67"/>
        <v>0.05</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0.09</v>
      </c>
      <c r="F381" s="635"/>
      <c r="G381" s="21">
        <f t="shared" si="66"/>
        <v>0.03</v>
      </c>
      <c r="H381" s="635"/>
      <c r="I381" s="21">
        <f t="shared" si="67"/>
        <v>0.05</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0.09</v>
      </c>
      <c r="F382" s="635"/>
      <c r="G382" s="21">
        <f t="shared" si="66"/>
        <v>0.03</v>
      </c>
      <c r="H382" s="635"/>
      <c r="I382" s="21">
        <f t="shared" si="67"/>
        <v>0.05</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0.09</v>
      </c>
      <c r="F383" s="635"/>
      <c r="G383" s="21">
        <f t="shared" si="66"/>
        <v>0.03</v>
      </c>
      <c r="H383" s="635"/>
      <c r="I383" s="21">
        <f t="shared" si="67"/>
        <v>0.05</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0.09</v>
      </c>
      <c r="F384" s="635"/>
      <c r="G384" s="21">
        <f t="shared" si="66"/>
        <v>0.03</v>
      </c>
      <c r="H384" s="635"/>
      <c r="I384" s="21">
        <f t="shared" si="67"/>
        <v>0.05</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0.09</v>
      </c>
      <c r="F385" s="635"/>
      <c r="G385" s="21">
        <f t="shared" si="66"/>
        <v>0.03</v>
      </c>
      <c r="H385" s="635"/>
      <c r="I385" s="21">
        <f t="shared" si="67"/>
        <v>0.05</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0.09</v>
      </c>
      <c r="F386" s="635"/>
      <c r="G386" s="21">
        <f t="shared" si="66"/>
        <v>0.03</v>
      </c>
      <c r="H386" s="635"/>
      <c r="I386" s="21">
        <f t="shared" si="67"/>
        <v>0.05</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0.09</v>
      </c>
      <c r="F387" s="635"/>
      <c r="G387" s="21">
        <f t="shared" si="66"/>
        <v>0.03</v>
      </c>
      <c r="H387" s="635"/>
      <c r="I387" s="21">
        <f t="shared" si="67"/>
        <v>0.05</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0.09</v>
      </c>
      <c r="F388" s="635"/>
      <c r="G388" s="21">
        <f t="shared" si="66"/>
        <v>0.03</v>
      </c>
      <c r="H388" s="635"/>
      <c r="I388" s="21">
        <f t="shared" si="67"/>
        <v>0.05</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0.09</v>
      </c>
      <c r="F389" s="635"/>
      <c r="G389" s="21">
        <f t="shared" si="66"/>
        <v>0.03</v>
      </c>
      <c r="H389" s="635"/>
      <c r="I389" s="21">
        <f t="shared" si="67"/>
        <v>0.05</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0.09</v>
      </c>
      <c r="F390" s="635"/>
      <c r="G390" s="21">
        <f t="shared" si="66"/>
        <v>0.03</v>
      </c>
      <c r="H390" s="635"/>
      <c r="I390" s="21">
        <f t="shared" si="67"/>
        <v>0.05</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0.09</v>
      </c>
      <c r="F391" s="635"/>
      <c r="G391" s="21">
        <f t="shared" si="66"/>
        <v>0.03</v>
      </c>
      <c r="H391" s="635"/>
      <c r="I391" s="21">
        <f t="shared" si="67"/>
        <v>0.05</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0.09</v>
      </c>
      <c r="F392" s="635"/>
      <c r="G392" s="21">
        <f t="shared" si="66"/>
        <v>0.03</v>
      </c>
      <c r="H392" s="635"/>
      <c r="I392" s="21">
        <f t="shared" si="67"/>
        <v>0.05</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0.09</v>
      </c>
      <c r="F393" s="635"/>
      <c r="G393" s="21">
        <f t="shared" si="66"/>
        <v>0.03</v>
      </c>
      <c r="H393" s="635"/>
      <c r="I393" s="21">
        <f t="shared" si="67"/>
        <v>0.05</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0.09</v>
      </c>
      <c r="F394" s="635"/>
      <c r="G394" s="21">
        <f t="shared" si="66"/>
        <v>0.03</v>
      </c>
      <c r="H394" s="635"/>
      <c r="I394" s="21">
        <f t="shared" si="67"/>
        <v>0.05</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0.09</v>
      </c>
      <c r="F395" s="635"/>
      <c r="G395" s="21">
        <f t="shared" si="66"/>
        <v>0.03</v>
      </c>
      <c r="H395" s="635"/>
      <c r="I395" s="21">
        <f t="shared" si="67"/>
        <v>0.05</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0.09</v>
      </c>
      <c r="F396" s="635"/>
      <c r="G396" s="21">
        <f t="shared" si="66"/>
        <v>0.03</v>
      </c>
      <c r="H396" s="635"/>
      <c r="I396" s="21">
        <f t="shared" si="67"/>
        <v>0.05</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0.09</v>
      </c>
      <c r="F397" s="635"/>
      <c r="G397" s="21">
        <f t="shared" si="66"/>
        <v>0.03</v>
      </c>
      <c r="H397" s="635"/>
      <c r="I397" s="21">
        <f t="shared" si="67"/>
        <v>0.05</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0.09</v>
      </c>
      <c r="F398" s="635"/>
      <c r="G398" s="21">
        <f t="shared" si="66"/>
        <v>0.03</v>
      </c>
      <c r="H398" s="635"/>
      <c r="I398" s="21">
        <f t="shared" si="67"/>
        <v>0.05</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0.09</v>
      </c>
      <c r="F399" s="635"/>
      <c r="G399" s="21">
        <f t="shared" si="66"/>
        <v>0.03</v>
      </c>
      <c r="H399" s="635"/>
      <c r="I399" s="21">
        <f t="shared" si="67"/>
        <v>0.05</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0.09</v>
      </c>
      <c r="F400" s="635"/>
      <c r="G400" s="21">
        <f t="shared" si="66"/>
        <v>0.03</v>
      </c>
      <c r="H400" s="635"/>
      <c r="I400" s="21">
        <f t="shared" si="67"/>
        <v>0.05</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0.09</v>
      </c>
      <c r="F401" s="635"/>
      <c r="G401" s="21">
        <f t="shared" si="66"/>
        <v>0.03</v>
      </c>
      <c r="H401" s="635"/>
      <c r="I401" s="21">
        <f t="shared" si="67"/>
        <v>0.05</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0.09</v>
      </c>
      <c r="F402" s="635"/>
      <c r="G402" s="21">
        <f t="shared" si="66"/>
        <v>0.03</v>
      </c>
      <c r="H402" s="635"/>
      <c r="I402" s="21">
        <f t="shared" si="67"/>
        <v>0.05</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0.09</v>
      </c>
      <c r="F403" s="635"/>
      <c r="G403" s="21">
        <f t="shared" si="66"/>
        <v>0.03</v>
      </c>
      <c r="H403" s="635"/>
      <c r="I403" s="21">
        <f t="shared" si="67"/>
        <v>0.05</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0.09</v>
      </c>
      <c r="F404" s="635"/>
      <c r="G404" s="21">
        <f t="shared" si="66"/>
        <v>0.03</v>
      </c>
      <c r="H404" s="635"/>
      <c r="I404" s="21">
        <f t="shared" si="67"/>
        <v>0.05</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0.09</v>
      </c>
      <c r="F405" s="635"/>
      <c r="G405" s="21">
        <f t="shared" si="66"/>
        <v>0.03</v>
      </c>
      <c r="H405" s="635"/>
      <c r="I405" s="21">
        <f t="shared" si="67"/>
        <v>0.05</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0.09</v>
      </c>
      <c r="F406" s="635"/>
      <c r="G406" s="21">
        <f t="shared" si="66"/>
        <v>0.03</v>
      </c>
      <c r="H406" s="635"/>
      <c r="I406" s="21">
        <f t="shared" si="67"/>
        <v>0.05</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0.09</v>
      </c>
      <c r="F407" s="635"/>
      <c r="G407" s="21">
        <f t="shared" si="66"/>
        <v>0.03</v>
      </c>
      <c r="H407" s="635"/>
      <c r="I407" s="21">
        <f t="shared" si="67"/>
        <v>0.05</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0.09</v>
      </c>
      <c r="F408" s="635"/>
      <c r="G408" s="21">
        <f t="shared" si="66"/>
        <v>0.03</v>
      </c>
      <c r="H408" s="635"/>
      <c r="I408" s="21">
        <f t="shared" si="67"/>
        <v>0.05</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0.09</v>
      </c>
      <c r="F409" s="635"/>
      <c r="G409" s="21">
        <f t="shared" si="66"/>
        <v>0.03</v>
      </c>
      <c r="H409" s="635"/>
      <c r="I409" s="21">
        <f t="shared" si="67"/>
        <v>0.05</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0.09</v>
      </c>
      <c r="F410" s="635"/>
      <c r="G410" s="21">
        <f t="shared" ref="G410:G473" si="76">(SUMIF($7:$7,F410,$8:$8)-SUMIF($7:$7,$F$24,$8:$8)+100)/100</f>
        <v>0.03</v>
      </c>
      <c r="H410" s="635"/>
      <c r="I410" s="21">
        <f t="shared" ref="I410:I473" si="77">(SUMIF($9:$9,H410,$10:$10)-SUMIF($9:$9,$H$24,$10:$10)+100)/100</f>
        <v>0.05</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0.09</v>
      </c>
      <c r="F411" s="635"/>
      <c r="G411" s="21">
        <f t="shared" si="76"/>
        <v>0.03</v>
      </c>
      <c r="H411" s="635"/>
      <c r="I411" s="21">
        <f t="shared" si="77"/>
        <v>0.05</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0.09</v>
      </c>
      <c r="F412" s="635"/>
      <c r="G412" s="21">
        <f t="shared" si="76"/>
        <v>0.03</v>
      </c>
      <c r="H412" s="635"/>
      <c r="I412" s="21">
        <f t="shared" si="77"/>
        <v>0.05</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0.09</v>
      </c>
      <c r="F413" s="635"/>
      <c r="G413" s="21">
        <f t="shared" si="76"/>
        <v>0.03</v>
      </c>
      <c r="H413" s="635"/>
      <c r="I413" s="21">
        <f t="shared" si="77"/>
        <v>0.05</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0.09</v>
      </c>
      <c r="F414" s="635"/>
      <c r="G414" s="21">
        <f t="shared" si="76"/>
        <v>0.03</v>
      </c>
      <c r="H414" s="635"/>
      <c r="I414" s="21">
        <f t="shared" si="77"/>
        <v>0.05</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0.09</v>
      </c>
      <c r="F415" s="635"/>
      <c r="G415" s="21">
        <f t="shared" si="76"/>
        <v>0.03</v>
      </c>
      <c r="H415" s="635"/>
      <c r="I415" s="21">
        <f t="shared" si="77"/>
        <v>0.05</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0.09</v>
      </c>
      <c r="F416" s="635"/>
      <c r="G416" s="21">
        <f t="shared" si="76"/>
        <v>0.03</v>
      </c>
      <c r="H416" s="635"/>
      <c r="I416" s="21">
        <f t="shared" si="77"/>
        <v>0.05</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0.09</v>
      </c>
      <c r="F417" s="635"/>
      <c r="G417" s="21">
        <f t="shared" si="76"/>
        <v>0.03</v>
      </c>
      <c r="H417" s="635"/>
      <c r="I417" s="21">
        <f t="shared" si="77"/>
        <v>0.05</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0.09</v>
      </c>
      <c r="F418" s="635"/>
      <c r="G418" s="21">
        <f t="shared" si="76"/>
        <v>0.03</v>
      </c>
      <c r="H418" s="635"/>
      <c r="I418" s="21">
        <f t="shared" si="77"/>
        <v>0.05</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0.09</v>
      </c>
      <c r="F419" s="635"/>
      <c r="G419" s="21">
        <f t="shared" si="76"/>
        <v>0.03</v>
      </c>
      <c r="H419" s="635"/>
      <c r="I419" s="21">
        <f t="shared" si="77"/>
        <v>0.05</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0.09</v>
      </c>
      <c r="F420" s="635"/>
      <c r="G420" s="21">
        <f t="shared" si="76"/>
        <v>0.03</v>
      </c>
      <c r="H420" s="635"/>
      <c r="I420" s="21">
        <f t="shared" si="77"/>
        <v>0.05</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0.09</v>
      </c>
      <c r="F421" s="635"/>
      <c r="G421" s="21">
        <f t="shared" si="76"/>
        <v>0.03</v>
      </c>
      <c r="H421" s="635"/>
      <c r="I421" s="21">
        <f t="shared" si="77"/>
        <v>0.05</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0.09</v>
      </c>
      <c r="F422" s="635"/>
      <c r="G422" s="21">
        <f t="shared" si="76"/>
        <v>0.03</v>
      </c>
      <c r="H422" s="635"/>
      <c r="I422" s="21">
        <f t="shared" si="77"/>
        <v>0.05</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0.09</v>
      </c>
      <c r="F423" s="635"/>
      <c r="G423" s="21">
        <f t="shared" si="76"/>
        <v>0.03</v>
      </c>
      <c r="H423" s="635"/>
      <c r="I423" s="21">
        <f t="shared" si="77"/>
        <v>0.05</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0.09</v>
      </c>
      <c r="F424" s="635"/>
      <c r="G424" s="21">
        <f t="shared" si="76"/>
        <v>0.03</v>
      </c>
      <c r="H424" s="635"/>
      <c r="I424" s="21">
        <f t="shared" si="77"/>
        <v>0.05</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0.09</v>
      </c>
      <c r="F425" s="635"/>
      <c r="G425" s="21">
        <f t="shared" si="76"/>
        <v>0.03</v>
      </c>
      <c r="H425" s="635"/>
      <c r="I425" s="21">
        <f t="shared" si="77"/>
        <v>0.05</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0.09</v>
      </c>
      <c r="F426" s="635"/>
      <c r="G426" s="21">
        <f t="shared" si="76"/>
        <v>0.03</v>
      </c>
      <c r="H426" s="635"/>
      <c r="I426" s="21">
        <f t="shared" si="77"/>
        <v>0.05</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0.09</v>
      </c>
      <c r="F427" s="635"/>
      <c r="G427" s="21">
        <f t="shared" si="76"/>
        <v>0.03</v>
      </c>
      <c r="H427" s="635"/>
      <c r="I427" s="21">
        <f t="shared" si="77"/>
        <v>0.05</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0.09</v>
      </c>
      <c r="F428" s="635"/>
      <c r="G428" s="21">
        <f t="shared" si="76"/>
        <v>0.03</v>
      </c>
      <c r="H428" s="635"/>
      <c r="I428" s="21">
        <f t="shared" si="77"/>
        <v>0.05</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0.09</v>
      </c>
      <c r="F429" s="635"/>
      <c r="G429" s="21">
        <f t="shared" si="76"/>
        <v>0.03</v>
      </c>
      <c r="H429" s="635"/>
      <c r="I429" s="21">
        <f t="shared" si="77"/>
        <v>0.05</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0.09</v>
      </c>
      <c r="F430" s="635"/>
      <c r="G430" s="21">
        <f t="shared" si="76"/>
        <v>0.03</v>
      </c>
      <c r="H430" s="635"/>
      <c r="I430" s="21">
        <f t="shared" si="77"/>
        <v>0.05</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0.09</v>
      </c>
      <c r="F431" s="635"/>
      <c r="G431" s="21">
        <f t="shared" si="76"/>
        <v>0.03</v>
      </c>
      <c r="H431" s="635"/>
      <c r="I431" s="21">
        <f t="shared" si="77"/>
        <v>0.05</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0.09</v>
      </c>
      <c r="F432" s="635"/>
      <c r="G432" s="21">
        <f t="shared" si="76"/>
        <v>0.03</v>
      </c>
      <c r="H432" s="635"/>
      <c r="I432" s="21">
        <f t="shared" si="77"/>
        <v>0.05</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0.09</v>
      </c>
      <c r="F433" s="635"/>
      <c r="G433" s="21">
        <f t="shared" si="76"/>
        <v>0.03</v>
      </c>
      <c r="H433" s="635"/>
      <c r="I433" s="21">
        <f t="shared" si="77"/>
        <v>0.05</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0.09</v>
      </c>
      <c r="F434" s="635"/>
      <c r="G434" s="21">
        <f t="shared" si="76"/>
        <v>0.03</v>
      </c>
      <c r="H434" s="635"/>
      <c r="I434" s="21">
        <f t="shared" si="77"/>
        <v>0.05</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0.09</v>
      </c>
      <c r="F435" s="635"/>
      <c r="G435" s="21">
        <f t="shared" si="76"/>
        <v>0.03</v>
      </c>
      <c r="H435" s="635"/>
      <c r="I435" s="21">
        <f t="shared" si="77"/>
        <v>0.05</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0.09</v>
      </c>
      <c r="F436" s="635"/>
      <c r="G436" s="21">
        <f t="shared" si="76"/>
        <v>0.03</v>
      </c>
      <c r="H436" s="635"/>
      <c r="I436" s="21">
        <f t="shared" si="77"/>
        <v>0.05</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0.09</v>
      </c>
      <c r="F437" s="635"/>
      <c r="G437" s="21">
        <f t="shared" si="76"/>
        <v>0.03</v>
      </c>
      <c r="H437" s="635"/>
      <c r="I437" s="21">
        <f t="shared" si="77"/>
        <v>0.05</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0.09</v>
      </c>
      <c r="F438" s="635"/>
      <c r="G438" s="21">
        <f t="shared" si="76"/>
        <v>0.03</v>
      </c>
      <c r="H438" s="635"/>
      <c r="I438" s="21">
        <f t="shared" si="77"/>
        <v>0.05</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0.09</v>
      </c>
      <c r="F439" s="635"/>
      <c r="G439" s="21">
        <f t="shared" si="76"/>
        <v>0.03</v>
      </c>
      <c r="H439" s="635"/>
      <c r="I439" s="21">
        <f t="shared" si="77"/>
        <v>0.05</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0.09</v>
      </c>
      <c r="F440" s="635"/>
      <c r="G440" s="21">
        <f t="shared" si="76"/>
        <v>0.03</v>
      </c>
      <c r="H440" s="635"/>
      <c r="I440" s="21">
        <f t="shared" si="77"/>
        <v>0.05</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0.09</v>
      </c>
      <c r="F441" s="635"/>
      <c r="G441" s="21">
        <f t="shared" si="76"/>
        <v>0.03</v>
      </c>
      <c r="H441" s="635"/>
      <c r="I441" s="21">
        <f t="shared" si="77"/>
        <v>0.05</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0.09</v>
      </c>
      <c r="F442" s="635"/>
      <c r="G442" s="21">
        <f t="shared" si="76"/>
        <v>0.03</v>
      </c>
      <c r="H442" s="635"/>
      <c r="I442" s="21">
        <f t="shared" si="77"/>
        <v>0.05</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0.09</v>
      </c>
      <c r="F443" s="635"/>
      <c r="G443" s="21">
        <f t="shared" si="76"/>
        <v>0.03</v>
      </c>
      <c r="H443" s="635"/>
      <c r="I443" s="21">
        <f t="shared" si="77"/>
        <v>0.05</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0.09</v>
      </c>
      <c r="F444" s="635"/>
      <c r="G444" s="21">
        <f t="shared" si="76"/>
        <v>0.03</v>
      </c>
      <c r="H444" s="635"/>
      <c r="I444" s="21">
        <f t="shared" si="77"/>
        <v>0.05</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0.09</v>
      </c>
      <c r="F445" s="635"/>
      <c r="G445" s="21">
        <f t="shared" si="76"/>
        <v>0.03</v>
      </c>
      <c r="H445" s="635"/>
      <c r="I445" s="21">
        <f t="shared" si="77"/>
        <v>0.05</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0.09</v>
      </c>
      <c r="F446" s="635"/>
      <c r="G446" s="21">
        <f t="shared" si="76"/>
        <v>0.03</v>
      </c>
      <c r="H446" s="635"/>
      <c r="I446" s="21">
        <f t="shared" si="77"/>
        <v>0.05</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0.09</v>
      </c>
      <c r="F447" s="635"/>
      <c r="G447" s="21">
        <f t="shared" si="76"/>
        <v>0.03</v>
      </c>
      <c r="H447" s="635"/>
      <c r="I447" s="21">
        <f t="shared" si="77"/>
        <v>0.05</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0.09</v>
      </c>
      <c r="F448" s="635"/>
      <c r="G448" s="21">
        <f t="shared" si="76"/>
        <v>0.03</v>
      </c>
      <c r="H448" s="635"/>
      <c r="I448" s="21">
        <f t="shared" si="77"/>
        <v>0.05</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0.09</v>
      </c>
      <c r="F449" s="635"/>
      <c r="G449" s="21">
        <f t="shared" si="76"/>
        <v>0.03</v>
      </c>
      <c r="H449" s="635"/>
      <c r="I449" s="21">
        <f t="shared" si="77"/>
        <v>0.05</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0.09</v>
      </c>
      <c r="F450" s="635"/>
      <c r="G450" s="21">
        <f t="shared" si="76"/>
        <v>0.03</v>
      </c>
      <c r="H450" s="635"/>
      <c r="I450" s="21">
        <f t="shared" si="77"/>
        <v>0.05</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0.09</v>
      </c>
      <c r="F451" s="635"/>
      <c r="G451" s="21">
        <f t="shared" si="76"/>
        <v>0.03</v>
      </c>
      <c r="H451" s="635"/>
      <c r="I451" s="21">
        <f t="shared" si="77"/>
        <v>0.05</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0.09</v>
      </c>
      <c r="F452" s="635"/>
      <c r="G452" s="21">
        <f t="shared" si="76"/>
        <v>0.03</v>
      </c>
      <c r="H452" s="635"/>
      <c r="I452" s="21">
        <f t="shared" si="77"/>
        <v>0.05</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0.09</v>
      </c>
      <c r="F453" s="635"/>
      <c r="G453" s="21">
        <f t="shared" si="76"/>
        <v>0.03</v>
      </c>
      <c r="H453" s="635"/>
      <c r="I453" s="21">
        <f t="shared" si="77"/>
        <v>0.05</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0.09</v>
      </c>
      <c r="F454" s="635"/>
      <c r="G454" s="21">
        <f t="shared" si="76"/>
        <v>0.03</v>
      </c>
      <c r="H454" s="635"/>
      <c r="I454" s="21">
        <f t="shared" si="77"/>
        <v>0.05</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0.09</v>
      </c>
      <c r="F455" s="635"/>
      <c r="G455" s="21">
        <f t="shared" si="76"/>
        <v>0.03</v>
      </c>
      <c r="H455" s="635"/>
      <c r="I455" s="21">
        <f t="shared" si="77"/>
        <v>0.05</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0.09</v>
      </c>
      <c r="F456" s="635"/>
      <c r="G456" s="21">
        <f t="shared" si="76"/>
        <v>0.03</v>
      </c>
      <c r="H456" s="635"/>
      <c r="I456" s="21">
        <f t="shared" si="77"/>
        <v>0.05</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0.09</v>
      </c>
      <c r="F457" s="635"/>
      <c r="G457" s="21">
        <f t="shared" si="76"/>
        <v>0.03</v>
      </c>
      <c r="H457" s="635"/>
      <c r="I457" s="21">
        <f t="shared" si="77"/>
        <v>0.05</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0.09</v>
      </c>
      <c r="F458" s="635"/>
      <c r="G458" s="21">
        <f t="shared" si="76"/>
        <v>0.03</v>
      </c>
      <c r="H458" s="635"/>
      <c r="I458" s="21">
        <f t="shared" si="77"/>
        <v>0.05</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0.09</v>
      </c>
      <c r="F459" s="635"/>
      <c r="G459" s="21">
        <f t="shared" si="76"/>
        <v>0.03</v>
      </c>
      <c r="H459" s="635"/>
      <c r="I459" s="21">
        <f t="shared" si="77"/>
        <v>0.05</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0.09</v>
      </c>
      <c r="F460" s="635"/>
      <c r="G460" s="21">
        <f t="shared" si="76"/>
        <v>0.03</v>
      </c>
      <c r="H460" s="635"/>
      <c r="I460" s="21">
        <f t="shared" si="77"/>
        <v>0.05</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0.09</v>
      </c>
      <c r="F461" s="635"/>
      <c r="G461" s="21">
        <f t="shared" si="76"/>
        <v>0.03</v>
      </c>
      <c r="H461" s="635"/>
      <c r="I461" s="21">
        <f t="shared" si="77"/>
        <v>0.05</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0.09</v>
      </c>
      <c r="F462" s="635"/>
      <c r="G462" s="21">
        <f t="shared" si="76"/>
        <v>0.03</v>
      </c>
      <c r="H462" s="635"/>
      <c r="I462" s="21">
        <f t="shared" si="77"/>
        <v>0.05</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0.09</v>
      </c>
      <c r="F463" s="635"/>
      <c r="G463" s="21">
        <f t="shared" si="76"/>
        <v>0.03</v>
      </c>
      <c r="H463" s="635"/>
      <c r="I463" s="21">
        <f t="shared" si="77"/>
        <v>0.05</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0.09</v>
      </c>
      <c r="F464" s="635"/>
      <c r="G464" s="21">
        <f t="shared" si="76"/>
        <v>0.03</v>
      </c>
      <c r="H464" s="635"/>
      <c r="I464" s="21">
        <f t="shared" si="77"/>
        <v>0.05</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0.09</v>
      </c>
      <c r="F465" s="635"/>
      <c r="G465" s="21">
        <f t="shared" si="76"/>
        <v>0.03</v>
      </c>
      <c r="H465" s="635"/>
      <c r="I465" s="21">
        <f t="shared" si="77"/>
        <v>0.05</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0.09</v>
      </c>
      <c r="F466" s="635"/>
      <c r="G466" s="21">
        <f t="shared" si="76"/>
        <v>0.03</v>
      </c>
      <c r="H466" s="635"/>
      <c r="I466" s="21">
        <f t="shared" si="77"/>
        <v>0.05</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0.09</v>
      </c>
      <c r="F467" s="635"/>
      <c r="G467" s="21">
        <f t="shared" si="76"/>
        <v>0.03</v>
      </c>
      <c r="H467" s="635"/>
      <c r="I467" s="21">
        <f t="shared" si="77"/>
        <v>0.05</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0.09</v>
      </c>
      <c r="F468" s="635"/>
      <c r="G468" s="21">
        <f t="shared" si="76"/>
        <v>0.03</v>
      </c>
      <c r="H468" s="635"/>
      <c r="I468" s="21">
        <f t="shared" si="77"/>
        <v>0.05</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0.09</v>
      </c>
      <c r="F469" s="635"/>
      <c r="G469" s="21">
        <f t="shared" si="76"/>
        <v>0.03</v>
      </c>
      <c r="H469" s="635"/>
      <c r="I469" s="21">
        <f t="shared" si="77"/>
        <v>0.05</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0.09</v>
      </c>
      <c r="F470" s="635"/>
      <c r="G470" s="21">
        <f t="shared" si="76"/>
        <v>0.03</v>
      </c>
      <c r="H470" s="635"/>
      <c r="I470" s="21">
        <f t="shared" si="77"/>
        <v>0.05</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0.09</v>
      </c>
      <c r="F471" s="635"/>
      <c r="G471" s="21">
        <f t="shared" si="76"/>
        <v>0.03</v>
      </c>
      <c r="H471" s="635"/>
      <c r="I471" s="21">
        <f t="shared" si="77"/>
        <v>0.05</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0.09</v>
      </c>
      <c r="F472" s="635"/>
      <c r="G472" s="21">
        <f t="shared" si="76"/>
        <v>0.03</v>
      </c>
      <c r="H472" s="635"/>
      <c r="I472" s="21">
        <f t="shared" si="77"/>
        <v>0.05</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0.09</v>
      </c>
      <c r="F473" s="635"/>
      <c r="G473" s="21">
        <f t="shared" si="76"/>
        <v>0.03</v>
      </c>
      <c r="H473" s="635"/>
      <c r="I473" s="21">
        <f t="shared" si="77"/>
        <v>0.05</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0.09</v>
      </c>
      <c r="F474" s="635"/>
      <c r="G474" s="21">
        <f t="shared" ref="G474:G524" si="87">(SUMIF($7:$7,F474,$8:$8)-SUMIF($7:$7,$F$24,$8:$8)+100)/100</f>
        <v>0.03</v>
      </c>
      <c r="H474" s="635"/>
      <c r="I474" s="21">
        <f t="shared" ref="I474:I524" si="88">(SUMIF($9:$9,H474,$10:$10)-SUMIF($9:$9,$H$24,$10:$10)+100)/100</f>
        <v>0.05</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0.09</v>
      </c>
      <c r="F475" s="635"/>
      <c r="G475" s="21">
        <f t="shared" si="87"/>
        <v>0.03</v>
      </c>
      <c r="H475" s="635"/>
      <c r="I475" s="21">
        <f t="shared" si="88"/>
        <v>0.05</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0.09</v>
      </c>
      <c r="F476" s="635"/>
      <c r="G476" s="21">
        <f t="shared" si="87"/>
        <v>0.03</v>
      </c>
      <c r="H476" s="635"/>
      <c r="I476" s="21">
        <f t="shared" si="88"/>
        <v>0.05</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0.09</v>
      </c>
      <c r="F477" s="635"/>
      <c r="G477" s="21">
        <f t="shared" si="87"/>
        <v>0.03</v>
      </c>
      <c r="H477" s="635"/>
      <c r="I477" s="21">
        <f t="shared" si="88"/>
        <v>0.05</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0.09</v>
      </c>
      <c r="F478" s="635"/>
      <c r="G478" s="21">
        <f t="shared" si="87"/>
        <v>0.03</v>
      </c>
      <c r="H478" s="635"/>
      <c r="I478" s="21">
        <f t="shared" si="88"/>
        <v>0.05</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0.09</v>
      </c>
      <c r="F479" s="635"/>
      <c r="G479" s="21">
        <f t="shared" si="87"/>
        <v>0.03</v>
      </c>
      <c r="H479" s="635"/>
      <c r="I479" s="21">
        <f t="shared" si="88"/>
        <v>0.05</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0.09</v>
      </c>
      <c r="F480" s="635"/>
      <c r="G480" s="21">
        <f t="shared" si="87"/>
        <v>0.03</v>
      </c>
      <c r="H480" s="635"/>
      <c r="I480" s="21">
        <f t="shared" si="88"/>
        <v>0.05</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0.09</v>
      </c>
      <c r="F481" s="635"/>
      <c r="G481" s="21">
        <f t="shared" si="87"/>
        <v>0.03</v>
      </c>
      <c r="H481" s="635"/>
      <c r="I481" s="21">
        <f t="shared" si="88"/>
        <v>0.05</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0.09</v>
      </c>
      <c r="F482" s="635"/>
      <c r="G482" s="21">
        <f t="shared" si="87"/>
        <v>0.03</v>
      </c>
      <c r="H482" s="635"/>
      <c r="I482" s="21">
        <f t="shared" si="88"/>
        <v>0.05</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0.09</v>
      </c>
      <c r="F483" s="635"/>
      <c r="G483" s="21">
        <f t="shared" si="87"/>
        <v>0.03</v>
      </c>
      <c r="H483" s="635"/>
      <c r="I483" s="21">
        <f t="shared" si="88"/>
        <v>0.05</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0.09</v>
      </c>
      <c r="F484" s="635"/>
      <c r="G484" s="21">
        <f t="shared" si="87"/>
        <v>0.03</v>
      </c>
      <c r="H484" s="635"/>
      <c r="I484" s="21">
        <f t="shared" si="88"/>
        <v>0.05</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0.09</v>
      </c>
      <c r="F485" s="635"/>
      <c r="G485" s="21">
        <f t="shared" si="87"/>
        <v>0.03</v>
      </c>
      <c r="H485" s="635"/>
      <c r="I485" s="21">
        <f t="shared" si="88"/>
        <v>0.05</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0.09</v>
      </c>
      <c r="F486" s="635"/>
      <c r="G486" s="21">
        <f t="shared" si="87"/>
        <v>0.03</v>
      </c>
      <c r="H486" s="635"/>
      <c r="I486" s="21">
        <f t="shared" si="88"/>
        <v>0.05</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0.09</v>
      </c>
      <c r="F487" s="635"/>
      <c r="G487" s="21">
        <f t="shared" si="87"/>
        <v>0.03</v>
      </c>
      <c r="H487" s="635"/>
      <c r="I487" s="21">
        <f t="shared" si="88"/>
        <v>0.05</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0.09</v>
      </c>
      <c r="F488" s="635"/>
      <c r="G488" s="21">
        <f t="shared" si="87"/>
        <v>0.03</v>
      </c>
      <c r="H488" s="635"/>
      <c r="I488" s="21">
        <f t="shared" si="88"/>
        <v>0.05</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0.09</v>
      </c>
      <c r="F489" s="635"/>
      <c r="G489" s="21">
        <f t="shared" si="87"/>
        <v>0.03</v>
      </c>
      <c r="H489" s="635"/>
      <c r="I489" s="21">
        <f t="shared" si="88"/>
        <v>0.05</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0.09</v>
      </c>
      <c r="F490" s="635"/>
      <c r="G490" s="21">
        <f t="shared" si="87"/>
        <v>0.03</v>
      </c>
      <c r="H490" s="635"/>
      <c r="I490" s="21">
        <f t="shared" si="88"/>
        <v>0.05</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0.09</v>
      </c>
      <c r="F491" s="635"/>
      <c r="G491" s="21">
        <f t="shared" si="87"/>
        <v>0.03</v>
      </c>
      <c r="H491" s="635"/>
      <c r="I491" s="21">
        <f t="shared" si="88"/>
        <v>0.05</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0.09</v>
      </c>
      <c r="F492" s="635"/>
      <c r="G492" s="21">
        <f t="shared" si="87"/>
        <v>0.03</v>
      </c>
      <c r="H492" s="635"/>
      <c r="I492" s="21">
        <f t="shared" si="88"/>
        <v>0.05</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0.09</v>
      </c>
      <c r="F493" s="635"/>
      <c r="G493" s="21">
        <f t="shared" si="87"/>
        <v>0.03</v>
      </c>
      <c r="H493" s="635"/>
      <c r="I493" s="21">
        <f t="shared" si="88"/>
        <v>0.05</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0.09</v>
      </c>
      <c r="F494" s="635"/>
      <c r="G494" s="21">
        <f t="shared" si="87"/>
        <v>0.03</v>
      </c>
      <c r="H494" s="635"/>
      <c r="I494" s="21">
        <f t="shared" si="88"/>
        <v>0.05</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0.09</v>
      </c>
      <c r="F495" s="635"/>
      <c r="G495" s="21">
        <f t="shared" si="87"/>
        <v>0.03</v>
      </c>
      <c r="H495" s="635"/>
      <c r="I495" s="21">
        <f t="shared" si="88"/>
        <v>0.05</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0.09</v>
      </c>
      <c r="F496" s="635"/>
      <c r="G496" s="21">
        <f t="shared" si="87"/>
        <v>0.03</v>
      </c>
      <c r="H496" s="635"/>
      <c r="I496" s="21">
        <f t="shared" si="88"/>
        <v>0.05</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0.09</v>
      </c>
      <c r="F497" s="635"/>
      <c r="G497" s="21">
        <f t="shared" si="87"/>
        <v>0.03</v>
      </c>
      <c r="H497" s="635"/>
      <c r="I497" s="21">
        <f t="shared" si="88"/>
        <v>0.05</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0.09</v>
      </c>
      <c r="F498" s="635"/>
      <c r="G498" s="21">
        <f t="shared" si="87"/>
        <v>0.03</v>
      </c>
      <c r="H498" s="635"/>
      <c r="I498" s="21">
        <f t="shared" si="88"/>
        <v>0.05</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0.09</v>
      </c>
      <c r="F499" s="635"/>
      <c r="G499" s="21">
        <f t="shared" si="87"/>
        <v>0.03</v>
      </c>
      <c r="H499" s="635"/>
      <c r="I499" s="21">
        <f t="shared" si="88"/>
        <v>0.05</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0.09</v>
      </c>
      <c r="F500" s="635"/>
      <c r="G500" s="21">
        <f t="shared" si="87"/>
        <v>0.03</v>
      </c>
      <c r="H500" s="635"/>
      <c r="I500" s="21">
        <f t="shared" si="88"/>
        <v>0.05</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0.09</v>
      </c>
      <c r="F501" s="635"/>
      <c r="G501" s="21">
        <f t="shared" si="87"/>
        <v>0.03</v>
      </c>
      <c r="H501" s="635"/>
      <c r="I501" s="21">
        <f t="shared" si="88"/>
        <v>0.05</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0.09</v>
      </c>
      <c r="F502" s="635"/>
      <c r="G502" s="21">
        <f t="shared" si="87"/>
        <v>0.03</v>
      </c>
      <c r="H502" s="635"/>
      <c r="I502" s="21">
        <f t="shared" si="88"/>
        <v>0.05</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0.09</v>
      </c>
      <c r="F503" s="635"/>
      <c r="G503" s="21">
        <f t="shared" si="87"/>
        <v>0.03</v>
      </c>
      <c r="H503" s="635"/>
      <c r="I503" s="21">
        <f t="shared" si="88"/>
        <v>0.05</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0.09</v>
      </c>
      <c r="F504" s="635"/>
      <c r="G504" s="21">
        <f t="shared" si="87"/>
        <v>0.03</v>
      </c>
      <c r="H504" s="635"/>
      <c r="I504" s="21">
        <f t="shared" si="88"/>
        <v>0.05</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0.09</v>
      </c>
      <c r="F505" s="635"/>
      <c r="G505" s="21">
        <f t="shared" si="87"/>
        <v>0.03</v>
      </c>
      <c r="H505" s="635"/>
      <c r="I505" s="21">
        <f t="shared" si="88"/>
        <v>0.05</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0.09</v>
      </c>
      <c r="F506" s="635"/>
      <c r="G506" s="21">
        <f t="shared" si="87"/>
        <v>0.03</v>
      </c>
      <c r="H506" s="635"/>
      <c r="I506" s="21">
        <f t="shared" si="88"/>
        <v>0.05</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0.09</v>
      </c>
      <c r="F507" s="635"/>
      <c r="G507" s="21">
        <f t="shared" si="87"/>
        <v>0.03</v>
      </c>
      <c r="H507" s="635"/>
      <c r="I507" s="21">
        <f t="shared" si="88"/>
        <v>0.05</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0.09</v>
      </c>
      <c r="F508" s="635"/>
      <c r="G508" s="21">
        <f t="shared" si="87"/>
        <v>0.03</v>
      </c>
      <c r="H508" s="635"/>
      <c r="I508" s="21">
        <f t="shared" si="88"/>
        <v>0.05</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0.09</v>
      </c>
      <c r="F509" s="635"/>
      <c r="G509" s="21">
        <f t="shared" si="87"/>
        <v>0.03</v>
      </c>
      <c r="H509" s="635"/>
      <c r="I509" s="21">
        <f t="shared" si="88"/>
        <v>0.05</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0.09</v>
      </c>
      <c r="F510" s="635"/>
      <c r="G510" s="21">
        <f t="shared" si="87"/>
        <v>0.03</v>
      </c>
      <c r="H510" s="635"/>
      <c r="I510" s="21">
        <f t="shared" si="88"/>
        <v>0.05</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0.09</v>
      </c>
      <c r="F511" s="635"/>
      <c r="G511" s="21">
        <f t="shared" si="87"/>
        <v>0.03</v>
      </c>
      <c r="H511" s="635"/>
      <c r="I511" s="21">
        <f t="shared" si="88"/>
        <v>0.05</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0.09</v>
      </c>
      <c r="F512" s="635"/>
      <c r="G512" s="21">
        <f t="shared" si="87"/>
        <v>0.03</v>
      </c>
      <c r="H512" s="635"/>
      <c r="I512" s="21">
        <f t="shared" si="88"/>
        <v>0.05</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0.09</v>
      </c>
      <c r="F513" s="635"/>
      <c r="G513" s="21">
        <f t="shared" si="87"/>
        <v>0.03</v>
      </c>
      <c r="H513" s="635"/>
      <c r="I513" s="21">
        <f t="shared" si="88"/>
        <v>0.05</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0.09</v>
      </c>
      <c r="F514" s="635"/>
      <c r="G514" s="21">
        <f t="shared" si="87"/>
        <v>0.03</v>
      </c>
      <c r="H514" s="635"/>
      <c r="I514" s="21">
        <f t="shared" si="88"/>
        <v>0.05</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0.09</v>
      </c>
      <c r="F515" s="635"/>
      <c r="G515" s="21">
        <f t="shared" si="87"/>
        <v>0.03</v>
      </c>
      <c r="H515" s="635"/>
      <c r="I515" s="21">
        <f t="shared" si="88"/>
        <v>0.05</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0.09</v>
      </c>
      <c r="F516" s="635"/>
      <c r="G516" s="21">
        <f t="shared" si="87"/>
        <v>0.03</v>
      </c>
      <c r="H516" s="635"/>
      <c r="I516" s="21">
        <f t="shared" si="88"/>
        <v>0.05</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0.09</v>
      </c>
      <c r="F517" s="635"/>
      <c r="G517" s="21">
        <f t="shared" si="87"/>
        <v>0.03</v>
      </c>
      <c r="H517" s="635"/>
      <c r="I517" s="21">
        <f t="shared" si="88"/>
        <v>0.05</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0.09</v>
      </c>
      <c r="F518" s="635"/>
      <c r="G518" s="21">
        <f t="shared" si="87"/>
        <v>0.03</v>
      </c>
      <c r="H518" s="635"/>
      <c r="I518" s="21">
        <f t="shared" si="88"/>
        <v>0.05</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0.09</v>
      </c>
      <c r="F519" s="635"/>
      <c r="G519" s="21">
        <f t="shared" si="87"/>
        <v>0.03</v>
      </c>
      <c r="H519" s="635"/>
      <c r="I519" s="21">
        <f t="shared" si="88"/>
        <v>0.05</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0.09</v>
      </c>
      <c r="F520" s="635"/>
      <c r="G520" s="21">
        <f t="shared" si="87"/>
        <v>0.03</v>
      </c>
      <c r="H520" s="635"/>
      <c r="I520" s="21">
        <f t="shared" si="88"/>
        <v>0.05</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0.09</v>
      </c>
      <c r="F521" s="635"/>
      <c r="G521" s="21">
        <f t="shared" si="87"/>
        <v>0.03</v>
      </c>
      <c r="H521" s="635"/>
      <c r="I521" s="21">
        <f t="shared" si="88"/>
        <v>0.05</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0.09</v>
      </c>
      <c r="F522" s="635"/>
      <c r="G522" s="21">
        <f t="shared" si="87"/>
        <v>0.03</v>
      </c>
      <c r="H522" s="635"/>
      <c r="I522" s="21">
        <f t="shared" si="88"/>
        <v>0.05</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0.09</v>
      </c>
      <c r="F523" s="635"/>
      <c r="G523" s="21">
        <f t="shared" si="87"/>
        <v>0.03</v>
      </c>
      <c r="H523" s="635"/>
      <c r="I523" s="21">
        <f t="shared" si="88"/>
        <v>0.05</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0.09</v>
      </c>
      <c r="F524" s="635"/>
      <c r="G524" s="21">
        <f t="shared" si="87"/>
        <v>0.03</v>
      </c>
      <c r="H524" s="635"/>
      <c r="I524" s="21">
        <f t="shared" si="88"/>
        <v>0.05</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3"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3328</v>
      </c>
      <c r="D1" s="1270" t="s">
        <v>3698</v>
      </c>
      <c r="E1" s="1271" t="s">
        <v>678</v>
      </c>
      <c r="F1" s="999">
        <f ca="1">J53</f>
        <v>28.020000000000003</v>
      </c>
      <c r="G1" s="1285">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1390</v>
      </c>
      <c r="C2" s="1288" t="s">
        <v>805</v>
      </c>
      <c r="D2" s="1288"/>
      <c r="E2" s="1294"/>
      <c r="F2" s="1295"/>
      <c r="G2" s="2476"/>
      <c r="H2" s="2466"/>
      <c r="I2" s="2466"/>
      <c r="J2" s="2466"/>
      <c r="K2" s="2467"/>
      <c r="L2" s="2466"/>
      <c r="M2" s="2466"/>
    </row>
    <row r="3" spans="1:37" ht="18" customHeight="1" thickBot="1">
      <c r="A3" s="1296" t="s">
        <v>806</v>
      </c>
      <c r="B3" s="1297">
        <f ca="1">IF(ISERROR(B2*10000/F43),0,ROUND(B2*10000/F43,0))</f>
        <v>1549</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147</v>
      </c>
      <c r="D5" s="1272" t="s">
        <v>693</v>
      </c>
      <c r="E5" s="1008"/>
      <c r="F5" s="1009"/>
      <c r="G5" s="1291"/>
      <c r="H5" s="291">
        <v>1</v>
      </c>
      <c r="I5" s="292" t="s">
        <v>692</v>
      </c>
      <c r="J5" s="1007">
        <f ca="1">J6+J10+J12</f>
        <v>0</v>
      </c>
      <c r="K5" s="1272" t="s">
        <v>693</v>
      </c>
      <c r="L5" s="1008"/>
      <c r="M5" s="1009"/>
    </row>
    <row r="6" spans="1:37" ht="18" customHeight="1">
      <c r="A6" s="1006" t="s">
        <v>398</v>
      </c>
      <c r="B6" s="3407" t="s">
        <v>694</v>
      </c>
      <c r="C6" s="1011">
        <f ca="1">ROUND(F6*F8*F7*(1-F9)/10000,0)</f>
        <v>147</v>
      </c>
      <c r="D6" s="147" t="s">
        <v>2105</v>
      </c>
      <c r="E6" s="294" t="s">
        <v>696</v>
      </c>
      <c r="F6" s="295">
        <f ca="1">INDIRECT("'数据-取费表'!u"&amp;$G$1)</f>
        <v>0.5</v>
      </c>
      <c r="G6" s="1291"/>
      <c r="H6" s="1006" t="s">
        <v>398</v>
      </c>
      <c r="I6" s="3407" t="s">
        <v>694</v>
      </c>
      <c r="J6" s="293">
        <f ca="1">ROUND(M6*M8*M7*(1-M9)/10000,0)</f>
        <v>0</v>
      </c>
      <c r="K6" s="147" t="s">
        <v>2104</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8973.9299999999985</v>
      </c>
      <c r="G7" s="1291"/>
      <c r="H7" s="296"/>
      <c r="I7" s="3408"/>
      <c r="J7" s="298"/>
      <c r="K7" s="299"/>
      <c r="L7" s="294" t="s">
        <v>697</v>
      </c>
      <c r="M7" s="295">
        <f ca="1">F7</f>
        <v>8973.9299999999985</v>
      </c>
    </row>
    <row r="8" spans="1:37" ht="18" customHeight="1">
      <c r="A8" s="296"/>
      <c r="B8" s="3408"/>
      <c r="C8" s="298"/>
      <c r="D8" s="299"/>
      <c r="E8" s="294" t="s">
        <v>698</v>
      </c>
      <c r="F8" s="295">
        <f ca="1">INDIRECT("'数据-取费表'!ai"&amp;$G$1)</f>
        <v>365</v>
      </c>
      <c r="G8" s="1291"/>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3699</v>
      </c>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3918</v>
      </c>
      <c r="D13" s="1018" t="s">
        <v>705</v>
      </c>
      <c r="E13" s="1018" t="s">
        <v>706</v>
      </c>
      <c r="F13" s="1019">
        <f ca="1">INDIRECT("'数据-取费表'!y"&amp;$G$1)</f>
        <v>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2872</v>
      </c>
      <c r="D14" s="1256" t="s">
        <v>708</v>
      </c>
      <c r="E14" s="1254"/>
      <c r="F14" s="311"/>
      <c r="G14" s="1291"/>
      <c r="H14" s="928" t="s">
        <v>398</v>
      </c>
      <c r="I14" s="294" t="s">
        <v>709</v>
      </c>
      <c r="J14" s="21">
        <f ca="1">C29</f>
        <v>3918</v>
      </c>
      <c r="K14" s="12"/>
      <c r="L14" s="759"/>
      <c r="M14" s="760"/>
    </row>
    <row r="15" spans="1:37" s="1303" customFormat="1" ht="18" customHeight="1" thickBot="1">
      <c r="A15" s="928" t="s">
        <v>399</v>
      </c>
      <c r="B15" s="294" t="s">
        <v>710</v>
      </c>
      <c r="C15" s="21">
        <f ca="1">ROUND(C14*F15,0)</f>
        <v>144</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40</v>
      </c>
      <c r="K16" s="1024" t="s">
        <v>715</v>
      </c>
      <c r="L16" s="1025"/>
      <c r="M16" s="1009"/>
    </row>
    <row r="17" spans="1:37" s="1303" customFormat="1" ht="18" customHeight="1">
      <c r="A17" s="928" t="s">
        <v>681</v>
      </c>
      <c r="B17" s="294" t="s">
        <v>716</v>
      </c>
      <c r="C17" s="21">
        <f ca="1">ROUND(F17*(F43+INDIRECT("'数据-取费表'!S"&amp;$G$1))/10000,0)</f>
        <v>179</v>
      </c>
      <c r="D17" s="294" t="s">
        <v>717</v>
      </c>
      <c r="E17" s="294" t="s">
        <v>718</v>
      </c>
      <c r="F17" s="23">
        <f>'数据-取费表'!B35</f>
        <v>200</v>
      </c>
      <c r="G17" s="1302"/>
      <c r="H17" s="928" t="s">
        <v>398</v>
      </c>
      <c r="I17" s="294" t="s">
        <v>719</v>
      </c>
      <c r="J17" s="2139">
        <f ca="1">ROUND(IF(AND(项目基本情况!B11="自然人",项目基本情况!B10="北京市"),J6*M17/(1+'数据-取费表'!C42),J18+J19+J20),2)</f>
        <v>1.19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57</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3252</v>
      </c>
      <c r="D19" s="123" t="s">
        <v>726</v>
      </c>
      <c r="E19" s="1268"/>
      <c r="F19" s="23"/>
      <c r="G19" s="1291"/>
      <c r="H19" s="928" t="s">
        <v>399</v>
      </c>
      <c r="I19" s="294" t="s">
        <v>727</v>
      </c>
      <c r="J19" s="21">
        <f ca="1">IF(K19="按租金收入计税",ROUND(J6*M19/(1+'数据-取费表'!C42),2),ROUND(C29*M19*0.7,2))</f>
        <v>0</v>
      </c>
      <c r="K19" s="1277" t="s">
        <v>3330</v>
      </c>
      <c r="L19" s="294" t="s">
        <v>712</v>
      </c>
      <c r="M19" s="314">
        <f>IF(K19="按租金收入计税",'数据-取费表'!B51,'数据-取费表'!B50)</f>
        <v>0.12</v>
      </c>
    </row>
    <row r="20" spans="1:37" s="1303" customFormat="1" ht="18" customHeight="1">
      <c r="A20" s="928" t="s">
        <v>402</v>
      </c>
      <c r="B20" s="294" t="s">
        <v>728</v>
      </c>
      <c r="C20" s="21">
        <f ca="1">ROUND(C19*F20,0)</f>
        <v>65</v>
      </c>
      <c r="D20" s="315" t="s">
        <v>729</v>
      </c>
      <c r="E20" s="294" t="s">
        <v>712</v>
      </c>
      <c r="F20" s="314">
        <f>'数据-取费表'!B37</f>
        <v>0.02</v>
      </c>
      <c r="G20" s="1302"/>
      <c r="H20" s="928" t="s">
        <v>680</v>
      </c>
      <c r="I20" s="147" t="s">
        <v>730</v>
      </c>
      <c r="J20" s="22">
        <f ca="1">ROUND(M20*M21/10000,2)</f>
        <v>1.19</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7922.8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39.18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103</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-40</v>
      </c>
      <c r="K25" s="1032" t="s">
        <v>753</v>
      </c>
      <c r="L25" s="1033"/>
      <c r="M25" s="1034"/>
    </row>
    <row r="26" spans="1:37">
      <c r="A26" s="928" t="s">
        <v>397</v>
      </c>
      <c r="B26" s="294" t="s">
        <v>754</v>
      </c>
      <c r="C26" s="21">
        <f ca="1">ROUND((C19+C20)*F26,0)</f>
        <v>166</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3918</v>
      </c>
      <c r="D29" s="1029"/>
      <c r="E29" s="1027"/>
      <c r="F29" s="1030"/>
      <c r="G29" s="1302"/>
      <c r="H29" s="325" t="s">
        <v>396</v>
      </c>
      <c r="I29" s="326" t="s">
        <v>768</v>
      </c>
      <c r="J29" s="327">
        <f ca="1">ROUND(J26/(1+F40)^F41,0)</f>
        <v>0</v>
      </c>
      <c r="K29" s="328" t="s">
        <v>769</v>
      </c>
      <c r="L29" s="329"/>
      <c r="M29" s="330">
        <f ca="1">INDIRECT("'数据-取费表'!k"&amp;$G$1)</f>
        <v>8973.9299999999985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72</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25.69</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IF(项目基本情况!B11="自然人","——",ROUND(C6*F32/(1+'数据-取费表'!C42),2))</f>
        <v>7.7</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16.8</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1.19</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7922.8</v>
      </c>
      <c r="G35" s="1291"/>
      <c r="H35" s="2468"/>
      <c r="I35" s="1304"/>
      <c r="J35" s="1305"/>
      <c r="K35" s="2472"/>
      <c r="L35" s="2471"/>
      <c r="M35" s="2471"/>
    </row>
    <row r="36" spans="1:18" ht="18" customHeight="1">
      <c r="A36" s="1039" t="s">
        <v>402</v>
      </c>
      <c r="B36" s="294" t="s">
        <v>738</v>
      </c>
      <c r="C36" s="21">
        <f ca="1">ROUND(C29*F36,2)</f>
        <v>39.18</v>
      </c>
      <c r="D36" s="1255" t="s">
        <v>771</v>
      </c>
      <c r="E36" s="294" t="s">
        <v>712</v>
      </c>
      <c r="F36" s="320">
        <f ca="1">INDIRECT("'数据-取费表'!Ak"&amp;$G$1)</f>
        <v>0.01</v>
      </c>
      <c r="G36" s="1291"/>
      <c r="H36" s="2471"/>
      <c r="I36" s="1304"/>
      <c r="J36" s="1305"/>
      <c r="K36" s="2328"/>
      <c r="L36" s="2471"/>
      <c r="M36" s="2471"/>
    </row>
    <row r="37" spans="1:18" ht="18" customHeight="1">
      <c r="A37" s="928" t="s">
        <v>437</v>
      </c>
      <c r="B37" s="294" t="s">
        <v>742</v>
      </c>
      <c r="C37" s="21">
        <f ca="1">ROUND(C13*F37,2)</f>
        <v>5.88</v>
      </c>
      <c r="D37" s="1255" t="s">
        <v>743</v>
      </c>
      <c r="E37" s="294" t="s">
        <v>744</v>
      </c>
      <c r="F37" s="321">
        <f ca="1">INDIRECT("'数据-取费表'!Al"&amp;$G$1)</f>
        <v>1.5E-3</v>
      </c>
      <c r="G37" s="1291"/>
      <c r="H37" s="2471"/>
      <c r="I37" s="1304"/>
      <c r="J37" s="1305"/>
      <c r="K37" s="2328"/>
      <c r="L37" s="2471"/>
      <c r="M37" s="2471"/>
    </row>
    <row r="38" spans="1:18" ht="18" customHeight="1" thickBot="1">
      <c r="A38" s="1026" t="s">
        <v>684</v>
      </c>
      <c r="B38" s="1027" t="s">
        <v>728</v>
      </c>
      <c r="C38" s="1028">
        <f ca="1">ROUND(C5*F38,2)</f>
        <v>1.47</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75</v>
      </c>
      <c r="D39" s="1032" t="s">
        <v>773</v>
      </c>
      <c r="E39" s="1033"/>
      <c r="F39" s="1034"/>
      <c r="G39" s="1291"/>
      <c r="H39" s="2471"/>
      <c r="I39" s="1304"/>
      <c r="J39" s="1305"/>
      <c r="K39" s="2469"/>
      <c r="L39" s="2471"/>
      <c r="M39" s="2471"/>
    </row>
    <row r="40" spans="1:18" ht="18" customHeight="1">
      <c r="A40" s="291" t="s">
        <v>395</v>
      </c>
      <c r="B40" s="292" t="s">
        <v>774</v>
      </c>
      <c r="C40" s="293">
        <f ca="1">ROUND(C39*(1-((1+F42)/(1+F40))^F41)/(F40-F42),0)</f>
        <v>1390</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28.020000000000003</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1549</v>
      </c>
      <c r="D43" s="328" t="s">
        <v>777</v>
      </c>
      <c r="E43" s="329" t="s">
        <v>778</v>
      </c>
      <c r="F43" s="330">
        <f ca="1">INDIRECT("'数据-取费表'!k"&amp;$G$1)</f>
        <v>8973.9299999999985</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f ca="1">C68-C40</f>
        <v>-2076</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3700</v>
      </c>
      <c r="K47" s="1322" t="s">
        <v>816</v>
      </c>
      <c r="L47" s="1323">
        <f ca="1">INDIRECT("'数据-取费表'!d"&amp;$G$1)</f>
        <v>50</v>
      </c>
      <c r="M47" s="1287" t="str">
        <f>IF(ISNUMBER(FIND("住宅",C1)),"住宅","非住宅")</f>
        <v>非住宅</v>
      </c>
      <c r="O47" s="1324" t="s">
        <v>403</v>
      </c>
      <c r="P47" s="1325" t="s">
        <v>817</v>
      </c>
      <c r="Q47" s="1326">
        <f ca="1">C40+J29</f>
        <v>1390</v>
      </c>
      <c r="R47" s="1326" t="s">
        <v>818</v>
      </c>
    </row>
    <row r="48" spans="1:18" s="1291" customFormat="1" ht="28.5" thickBot="1">
      <c r="A48" s="1047" t="s">
        <v>438</v>
      </c>
      <c r="B48" s="292" t="s">
        <v>692</v>
      </c>
      <c r="C48" s="1267">
        <f ca="1">C49+C53+C55</f>
        <v>0</v>
      </c>
      <c r="D48" s="1049"/>
      <c r="E48" s="1050"/>
      <c r="F48" s="908"/>
      <c r="G48" s="681"/>
      <c r="H48" s="682"/>
      <c r="I48" s="1327" t="s">
        <v>819</v>
      </c>
      <c r="J48" s="1328" t="s">
        <v>3701</v>
      </c>
      <c r="K48" s="1329" t="s">
        <v>820</v>
      </c>
      <c r="L48" s="1330">
        <f ca="1">INDIRECT("'数据-取费表'!f"&amp;$G$1)</f>
        <v>28.42</v>
      </c>
      <c r="O48" s="1324" t="s">
        <v>404</v>
      </c>
      <c r="P48" s="1325" t="s">
        <v>821</v>
      </c>
      <c r="Q48" s="1326" t="str">
        <f ca="1">J60</f>
        <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v>2024</v>
      </c>
      <c r="K49" s="1329" t="s">
        <v>824</v>
      </c>
      <c r="L49" s="1332"/>
      <c r="O49" s="1333" t="s">
        <v>405</v>
      </c>
      <c r="P49" s="1325" t="s">
        <v>825</v>
      </c>
      <c r="Q49" s="1326">
        <f ca="1">C29</f>
        <v>3918</v>
      </c>
      <c r="R49" s="1326" t="s">
        <v>818</v>
      </c>
    </row>
    <row r="50" spans="1:18" s="1291" customFormat="1" ht="13.5" thickBot="1">
      <c r="A50" s="922"/>
      <c r="B50" s="925"/>
      <c r="C50" s="1055"/>
      <c r="D50" s="899"/>
      <c r="E50" s="993" t="s">
        <v>697</v>
      </c>
      <c r="F50" s="994">
        <f ca="1">F7</f>
        <v>8973.9299999999985</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365</v>
      </c>
      <c r="I51" s="1337" t="s">
        <v>829</v>
      </c>
      <c r="J51" s="1330">
        <f>IF(J49="",J50,J49+J50-YEAR('数据-取费表'!B2))</f>
        <v>60</v>
      </c>
      <c r="K51" s="1338" t="s">
        <v>830</v>
      </c>
      <c r="L51" s="1339">
        <f ca="1">ROUND(-PV(INDIRECT("'数据-取费表'!h"&amp;$G$1),J51,(C39-C13*C76),0),0)</f>
        <v>-4112</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28.020000000000003</v>
      </c>
      <c r="R52" s="1326" t="s">
        <v>835</v>
      </c>
    </row>
    <row r="53" spans="1:18" s="1291" customFormat="1" ht="24.75" thickBot="1">
      <c r="A53" s="1078"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28.020000000000003</v>
      </c>
      <c r="K53" s="3410" t="s">
        <v>837</v>
      </c>
      <c r="L53" s="3411"/>
      <c r="O53" s="1324" t="s">
        <v>409</v>
      </c>
      <c r="P53" s="1325" t="s">
        <v>838</v>
      </c>
      <c r="Q53" s="1326">
        <f ca="1">Q47+Q48</f>
        <v>1390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3">
        <v>2</v>
      </c>
      <c r="B56" s="904" t="s">
        <v>704</v>
      </c>
      <c r="C56" s="224">
        <f ca="1">C13</f>
        <v>3918</v>
      </c>
      <c r="D56" s="1351"/>
      <c r="E56" s="1352"/>
      <c r="F56" s="1344"/>
      <c r="I56" s="1353" t="s">
        <v>842</v>
      </c>
      <c r="J56" s="1354" t="s">
        <v>3514</v>
      </c>
      <c r="K56" s="1327" t="s">
        <v>843</v>
      </c>
      <c r="L56" s="1330" t="str">
        <f ca="1">IF(L48&lt;J51,"——",L48-J53)</f>
        <v>——</v>
      </c>
      <c r="O56" s="1324" t="s">
        <v>403</v>
      </c>
      <c r="P56" s="1325" t="s">
        <v>817</v>
      </c>
      <c r="Q56" s="1326">
        <f ca="1">C40+J29</f>
        <v>1390</v>
      </c>
      <c r="R56" s="1326" t="s">
        <v>818</v>
      </c>
    </row>
    <row r="57" spans="1:18" s="1291" customFormat="1" ht="24.75" thickBot="1">
      <c r="A57" s="1355"/>
      <c r="B57" s="896" t="s">
        <v>767</v>
      </c>
      <c r="C57" s="230">
        <f ca="1">C29</f>
        <v>3918</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46</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3330</v>
      </c>
      <c r="E61" s="896" t="s">
        <v>783</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5" thickBot="1">
      <c r="A62" s="928" t="s">
        <v>784</v>
      </c>
      <c r="B62" s="895" t="s">
        <v>785</v>
      </c>
      <c r="C62" s="22">
        <f ca="1">IF(项目基本情况!B11="自然人","——",ROUND(F62*F63/10000,2))</f>
        <v>1.19</v>
      </c>
      <c r="D62" s="911" t="s">
        <v>786</v>
      </c>
      <c r="E62" s="896" t="s">
        <v>787</v>
      </c>
      <c r="F62" s="317">
        <f t="shared" si="0"/>
        <v>1.5</v>
      </c>
      <c r="I62" s="1366" t="s">
        <v>858</v>
      </c>
      <c r="J62" s="610" t="s">
        <v>859</v>
      </c>
      <c r="K62" s="610" t="s">
        <v>860</v>
      </c>
      <c r="L62" s="610" t="s">
        <v>861</v>
      </c>
      <c r="M62" s="1367" t="s">
        <v>862</v>
      </c>
      <c r="O62" s="1324" t="s">
        <v>409</v>
      </c>
      <c r="P62" s="1325" t="s">
        <v>863</v>
      </c>
      <c r="Q62" s="1326">
        <f ca="1">Q56+Q57</f>
        <v>1390</v>
      </c>
      <c r="R62" s="1326" t="s">
        <v>410</v>
      </c>
    </row>
    <row r="63" spans="1:18" s="1291" customFormat="1" ht="13.5" thickBot="1">
      <c r="A63" s="318"/>
      <c r="B63" s="902"/>
      <c r="C63" s="26"/>
      <c r="D63" s="912"/>
      <c r="E63" s="896" t="s">
        <v>788</v>
      </c>
      <c r="F63" s="295">
        <f t="shared" ca="1" si="0"/>
        <v>7922.8</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39.18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5.88</v>
      </c>
      <c r="D65" s="910" t="s">
        <v>743</v>
      </c>
      <c r="E65" s="896" t="s">
        <v>744</v>
      </c>
      <c r="F65" s="321">
        <f t="shared" ca="1" si="0"/>
        <v>1.5E-3</v>
      </c>
      <c r="I65" s="1366" t="s">
        <v>867</v>
      </c>
      <c r="J65" s="610">
        <v>40</v>
      </c>
      <c r="K65" s="610">
        <v>30</v>
      </c>
      <c r="L65" s="610">
        <v>50</v>
      </c>
      <c r="M65" s="1368">
        <v>0.02</v>
      </c>
      <c r="O65" s="1324" t="s">
        <v>403</v>
      </c>
      <c r="P65" s="1325" t="s">
        <v>868</v>
      </c>
      <c r="Q65" s="1326">
        <f ca="1">C40+J29</f>
        <v>1390</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-46</v>
      </c>
      <c r="D67" s="909" t="s">
        <v>753</v>
      </c>
      <c r="E67" s="914"/>
      <c r="F67" s="915"/>
      <c r="O67" s="1333" t="s">
        <v>405</v>
      </c>
      <c r="P67" s="1325" t="s">
        <v>850</v>
      </c>
      <c r="Q67" s="1369">
        <f ca="1">L51</f>
        <v>-4112</v>
      </c>
      <c r="R67" s="1326" t="s">
        <v>870</v>
      </c>
    </row>
    <row r="68" spans="1:18" s="1291" customFormat="1" ht="16.5" thickBot="1">
      <c r="A68" s="893" t="s">
        <v>395</v>
      </c>
      <c r="B68" s="894" t="s">
        <v>774</v>
      </c>
      <c r="C68" s="293">
        <f ca="1">ROUND(C67*(1-((1+F70)/(1+F68))^F69)/(F68-F70),0)</f>
        <v>-686</v>
      </c>
      <c r="D68" s="911" t="s">
        <v>758</v>
      </c>
      <c r="E68" s="896" t="s">
        <v>759</v>
      </c>
      <c r="F68" s="304">
        <f ca="1">F40</f>
        <v>0.05</v>
      </c>
      <c r="O68" s="1333" t="s">
        <v>406</v>
      </c>
      <c r="P68" s="1370" t="s">
        <v>871</v>
      </c>
      <c r="Q68" s="1326">
        <f ca="1">ROUND(Q69-Q70*Q71,0)</f>
        <v>-199</v>
      </c>
      <c r="R68" s="1326" t="s">
        <v>414</v>
      </c>
    </row>
    <row r="69" spans="1:18" s="1291" customFormat="1" ht="13.5" thickBot="1">
      <c r="A69" s="897"/>
      <c r="B69" s="898"/>
      <c r="C69" s="298"/>
      <c r="D69" s="916" t="s">
        <v>762</v>
      </c>
      <c r="E69" s="896" t="s">
        <v>763</v>
      </c>
      <c r="F69" s="324">
        <f ca="1">F41</f>
        <v>28.020000000000003</v>
      </c>
      <c r="O69" s="1333" t="s">
        <v>411</v>
      </c>
      <c r="P69" s="1370" t="s">
        <v>872</v>
      </c>
      <c r="Q69" s="1326">
        <f ca="1">C39</f>
        <v>75</v>
      </c>
      <c r="R69" s="1326" t="s">
        <v>818</v>
      </c>
    </row>
    <row r="70" spans="1:18" s="1291" customFormat="1" ht="13.5" thickBot="1">
      <c r="A70" s="900"/>
      <c r="B70" s="901"/>
      <c r="C70" s="302"/>
      <c r="D70" s="912"/>
      <c r="E70" s="896" t="s">
        <v>766</v>
      </c>
      <c r="F70" s="991"/>
      <c r="O70" s="1333" t="s">
        <v>412</v>
      </c>
      <c r="P70" s="1370" t="s">
        <v>873</v>
      </c>
      <c r="Q70" s="1326">
        <f ca="1">C13</f>
        <v>3918</v>
      </c>
      <c r="R70" s="1326" t="s">
        <v>818</v>
      </c>
    </row>
    <row r="71" spans="1:18" s="1291" customFormat="1" ht="13.5" thickBot="1">
      <c r="A71" s="917" t="s">
        <v>396</v>
      </c>
      <c r="B71" s="918" t="s">
        <v>776</v>
      </c>
      <c r="C71" s="327">
        <f ca="1">ROUND(C68*10000/F71,0)</f>
        <v>-764</v>
      </c>
      <c r="D71" s="919" t="s">
        <v>777</v>
      </c>
      <c r="E71" s="920" t="s">
        <v>778</v>
      </c>
      <c r="F71" s="330">
        <f ca="1">F43</f>
        <v>8973.9299999999985</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5" thickBot="1">
      <c r="A75" s="1291"/>
      <c r="B75" s="331" t="s">
        <v>795</v>
      </c>
      <c r="C75" s="332">
        <f ca="1">ROUND(C13*C76,0)</f>
        <v>274</v>
      </c>
      <c r="D75" s="1291"/>
      <c r="E75" s="1291"/>
      <c r="F75" s="1291"/>
      <c r="K75" s="1308"/>
      <c r="L75" s="1291"/>
      <c r="O75" s="1324" t="s">
        <v>409</v>
      </c>
      <c r="P75" s="1325" t="s">
        <v>838</v>
      </c>
      <c r="Q75" s="1326">
        <f ca="1">Q65+Q66</f>
        <v>1390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-2.653</v>
      </c>
    </row>
    <row r="80" spans="1:18">
      <c r="B80" s="331" t="s">
        <v>800</v>
      </c>
      <c r="C80" s="266">
        <f ca="1">ROUND(C75/C39,3)</f>
        <v>3.653</v>
      </c>
    </row>
    <row r="81" spans="2:3">
      <c r="B81" s="262" t="s">
        <v>801</v>
      </c>
      <c r="C81" s="230"/>
    </row>
    <row r="82" spans="2:3">
      <c r="B82" s="265" t="s">
        <v>802</v>
      </c>
      <c r="C82" s="267">
        <f ca="1">1-C83</f>
        <v>-1.819</v>
      </c>
    </row>
    <row r="83" spans="2:3">
      <c r="B83" s="265" t="s">
        <v>803</v>
      </c>
      <c r="C83" s="266">
        <f ca="1">ROUND(C13/C40,3)</f>
        <v>2.819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72" priority="3">
      <formula>$F$10="自定义"</formula>
    </cfRule>
  </conditionalFormatting>
  <conditionalFormatting sqref="C54">
    <cfRule type="expression" dxfId="71" priority="1">
      <formula>$F$53="自定义"</formula>
    </cfRule>
  </conditionalFormatting>
  <conditionalFormatting sqref="I55 I60">
    <cfRule type="expression" dxfId="70" priority="57">
      <formula>$J$51&gt;$L$48</formula>
    </cfRule>
  </conditionalFormatting>
  <conditionalFormatting sqref="J11">
    <cfRule type="expression" dxfId="69" priority="2">
      <formula>$M$10="自定义"</formula>
    </cfRule>
  </conditionalFormatting>
  <conditionalFormatting sqref="K55 K60">
    <cfRule type="expression" dxfId="68" priority="56">
      <formula>$L$48&gt;$J$51</formula>
    </cfRule>
  </conditionalFormatting>
  <dataValidations count="9">
    <dataValidation type="list" allowBlank="1" showInputMessage="1" showErrorMessage="1" sqref="K19" xr:uid="{00000000-0002-0000-2000-000000000000}">
      <formula1>"按租金收入计税,按房产原值计税"</formula1>
    </dataValidation>
    <dataValidation type="list" allowBlank="1" showInputMessage="1" showErrorMessage="1" sqref="D33 D61" xr:uid="{00000000-0002-0000-2000-000001000000}">
      <formula1>"按租金收入计税,按房产原值计税,按票据"</formula1>
    </dataValidation>
    <dataValidation type="list" allowBlank="1" showInputMessage="1" showErrorMessage="1" sqref="C1" xr:uid="{00000000-0002-0000-2000-000002000000}">
      <formula1>项目类型</formula1>
    </dataValidation>
    <dataValidation type="list" allowBlank="1" showInputMessage="1" showErrorMessage="1" sqref="J47" xr:uid="{00000000-0002-0000-2000-000003000000}">
      <formula1>"钢,钢混,砖混"</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56" xr:uid="{00000000-0002-0000-2000-000005000000}">
      <formula1>估价范围判定</formula1>
    </dataValidation>
    <dataValidation type="list" allowBlank="1" showInputMessage="1" showErrorMessage="1" sqref="L55" xr:uid="{00000000-0002-0000-2000-000006000000}">
      <formula1>"比较法,基准地价,收益还原"</formula1>
    </dataValidation>
    <dataValidation type="list" allowBlank="1" showInputMessage="1" showErrorMessage="1" sqref="M10 F10 F53"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topLeftCell="A16" zoomScale="85" zoomScaleNormal="70" zoomScaleSheetLayoutView="85" workbookViewId="0">
      <selection activeCell="K40" sqref="K40: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3327</v>
      </c>
      <c r="D1" s="1270" t="s">
        <v>3698</v>
      </c>
      <c r="E1" s="1271" t="s">
        <v>678</v>
      </c>
      <c r="F1" s="999">
        <f ca="1">J53</f>
        <v>28.020000000000003</v>
      </c>
      <c r="G1" s="1285">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3467</v>
      </c>
      <c r="C2" s="1288" t="s">
        <v>805</v>
      </c>
      <c r="D2" s="1288"/>
      <c r="E2" s="1294"/>
      <c r="F2" s="1295"/>
      <c r="G2" s="2476"/>
      <c r="H2" s="2466"/>
      <c r="I2" s="2466"/>
      <c r="J2" s="2466"/>
      <c r="K2" s="2467"/>
      <c r="L2" s="2466"/>
      <c r="M2" s="2466"/>
    </row>
    <row r="3" spans="1:37" ht="18" customHeight="1" thickBot="1">
      <c r="A3" s="1296" t="s">
        <v>806</v>
      </c>
      <c r="B3" s="1297">
        <f ca="1">IF(ISERROR(B2*10000/F43),0,ROUND(B2*10000/F43,0))</f>
        <v>1454</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377</v>
      </c>
      <c r="D5" s="1272" t="s">
        <v>693</v>
      </c>
      <c r="E5" s="1008"/>
      <c r="F5" s="1009"/>
      <c r="G5" s="1291"/>
      <c r="H5" s="291">
        <v>1</v>
      </c>
      <c r="I5" s="292" t="s">
        <v>692</v>
      </c>
      <c r="J5" s="1007">
        <f ca="1">J6+J10+J12</f>
        <v>0</v>
      </c>
      <c r="K5" s="1272" t="s">
        <v>693</v>
      </c>
      <c r="L5" s="1008"/>
      <c r="M5" s="1009"/>
    </row>
    <row r="6" spans="1:37" ht="18" customHeight="1">
      <c r="A6" s="1006" t="s">
        <v>398</v>
      </c>
      <c r="B6" s="3407" t="s">
        <v>694</v>
      </c>
      <c r="C6" s="1011">
        <f ca="1">ROUND(F6*F8*F7*(1-F9)/10000,0)</f>
        <v>377</v>
      </c>
      <c r="D6" s="147" t="s">
        <v>2105</v>
      </c>
      <c r="E6" s="294" t="s">
        <v>696</v>
      </c>
      <c r="F6" s="295">
        <f ca="1">INDIRECT("'数据-取费表'!u"&amp;$G$1)</f>
        <v>700</v>
      </c>
      <c r="G6" s="1291"/>
      <c r="H6" s="1006" t="s">
        <v>398</v>
      </c>
      <c r="I6" s="3407" t="s">
        <v>694</v>
      </c>
      <c r="J6" s="293">
        <f ca="1">ROUND(M6*M8*M7*(1-M9)/10000,0)</f>
        <v>0</v>
      </c>
      <c r="K6" s="147" t="s">
        <v>2104</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499</v>
      </c>
      <c r="G7" s="1291"/>
      <c r="H7" s="296"/>
      <c r="I7" s="3408"/>
      <c r="J7" s="298"/>
      <c r="K7" s="299"/>
      <c r="L7" s="294" t="s">
        <v>697</v>
      </c>
      <c r="M7" s="295">
        <f ca="1">F7</f>
        <v>499</v>
      </c>
    </row>
    <row r="8" spans="1:37" ht="18" customHeight="1">
      <c r="A8" s="296"/>
      <c r="B8" s="3408"/>
      <c r="C8" s="298"/>
      <c r="D8" s="299"/>
      <c r="E8" s="294" t="s">
        <v>698</v>
      </c>
      <c r="F8" s="295">
        <f ca="1">INDIRECT("'数据-取费表'!ai"&amp;$G$1)</f>
        <v>12</v>
      </c>
      <c r="G8" s="1291"/>
      <c r="H8" s="296"/>
      <c r="I8" s="3408"/>
      <c r="J8" s="298"/>
      <c r="K8" s="299"/>
      <c r="L8" s="294" t="s">
        <v>698</v>
      </c>
      <c r="M8" s="295">
        <f ca="1">INDIRECT("'数据-取费表'!ai"&amp;$G$1)</f>
        <v>12</v>
      </c>
    </row>
    <row r="9" spans="1:37" ht="18" customHeight="1">
      <c r="A9" s="296"/>
      <c r="B9" s="3409"/>
      <c r="C9" s="298"/>
      <c r="D9" s="299"/>
      <c r="E9" s="294" t="s">
        <v>699</v>
      </c>
      <c r="F9" s="304">
        <f ca="1">INDIRECT("'数据-取费表'!w"&amp;$G$1)</f>
        <v>0.1</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2112</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10415</v>
      </c>
      <c r="D13" s="1018" t="s">
        <v>705</v>
      </c>
      <c r="E13" s="1018" t="s">
        <v>706</v>
      </c>
      <c r="F13" s="1019">
        <f ca="1">INDIRECT("'数据-取费表'!y"&amp;$G$1)</f>
        <v>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7633</v>
      </c>
      <c r="D14" s="1256" t="s">
        <v>708</v>
      </c>
      <c r="E14" s="1254"/>
      <c r="F14" s="311"/>
      <c r="G14" s="1291"/>
      <c r="H14" s="928" t="s">
        <v>398</v>
      </c>
      <c r="I14" s="294" t="s">
        <v>709</v>
      </c>
      <c r="J14" s="21">
        <f ca="1">C29</f>
        <v>10415</v>
      </c>
      <c r="K14" s="12"/>
      <c r="L14" s="759"/>
      <c r="M14" s="760"/>
    </row>
    <row r="15" spans="1:37" s="1303" customFormat="1" ht="18" customHeight="1" thickBot="1">
      <c r="A15" s="928" t="s">
        <v>399</v>
      </c>
      <c r="B15" s="294" t="s">
        <v>710</v>
      </c>
      <c r="C15" s="21">
        <f ca="1">ROUND(C14*F15,0)</f>
        <v>382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107</v>
      </c>
      <c r="K16" s="1024" t="s">
        <v>715</v>
      </c>
      <c r="L16" s="1025"/>
      <c r="M16" s="1009"/>
    </row>
    <row r="17" spans="1:37" s="1303" customFormat="1" ht="18" customHeight="1">
      <c r="A17" s="928" t="s">
        <v>681</v>
      </c>
      <c r="B17" s="294" t="s">
        <v>716</v>
      </c>
      <c r="C17" s="21">
        <f ca="1">ROUND(F17*(F43+INDIRECT("'数据-取费表'!S"&amp;$G$1))/10000,0)</f>
        <v>477</v>
      </c>
      <c r="D17" s="294" t="s">
        <v>717</v>
      </c>
      <c r="E17" s="294" t="s">
        <v>718</v>
      </c>
      <c r="F17" s="23">
        <f>'数据-取费表'!B35</f>
        <v>200</v>
      </c>
      <c r="G17" s="1302"/>
      <c r="H17" s="928" t="s">
        <v>398</v>
      </c>
      <c r="I17" s="294" t="s">
        <v>719</v>
      </c>
      <c r="J17" s="2139">
        <f ca="1">ROUND(IF(AND(项目基本情况!B11="自然人",项目基本情况!B10="北京市"),J6*M17/(1+'数据-取费表'!C42),J18+J19+J20),2)</f>
        <v>3.16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153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8645</v>
      </c>
      <c r="D19" s="123" t="s">
        <v>726</v>
      </c>
      <c r="E19" s="1268"/>
      <c r="F19" s="23"/>
      <c r="G19" s="1291"/>
      <c r="H19" s="928" t="s">
        <v>399</v>
      </c>
      <c r="I19" s="294" t="s">
        <v>727</v>
      </c>
      <c r="J19" s="21">
        <f ca="1">IF(K19="按租金收入计税",ROUND(J6*M19/(1+'数据-取费表'!C42),2),ROUND(C29*M19*0.7,2))</f>
        <v>0</v>
      </c>
      <c r="K19" s="1277" t="s">
        <v>3330</v>
      </c>
      <c r="L19" s="294" t="s">
        <v>712</v>
      </c>
      <c r="M19" s="314">
        <f>IF(K19="按租金收入计税",'数据-取费表'!B51,'数据-取费表'!B50)</f>
        <v>0.12</v>
      </c>
    </row>
    <row r="20" spans="1:37" s="1303" customFormat="1" ht="18" customHeight="1">
      <c r="A20" s="928" t="s">
        <v>402</v>
      </c>
      <c r="B20" s="294" t="s">
        <v>728</v>
      </c>
      <c r="C20" s="21">
        <f ca="1">ROUND(C19*F20,0)</f>
        <v>173</v>
      </c>
      <c r="D20" s="315" t="s">
        <v>729</v>
      </c>
      <c r="E20" s="294" t="s">
        <v>712</v>
      </c>
      <c r="F20" s="314">
        <f>'数据-取费表'!B37</f>
        <v>0.02</v>
      </c>
      <c r="G20" s="1302"/>
      <c r="H20" s="928" t="s">
        <v>680</v>
      </c>
      <c r="I20" s="147" t="s">
        <v>730</v>
      </c>
      <c r="J20" s="22">
        <f ca="1">ROUND(M20*M21/10000,2)</f>
        <v>3.16</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21058.43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104.15</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273</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712</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683</v>
      </c>
      <c r="I24" s="1027" t="s">
        <v>728</v>
      </c>
      <c r="J24" s="1028">
        <f ca="1">ROUND(J5*M24,2)</f>
        <v>0</v>
      </c>
      <c r="K24" s="1029" t="s">
        <v>748</v>
      </c>
      <c r="L24" s="1027" t="s">
        <v>712</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-107</v>
      </c>
      <c r="K25" s="1032" t="s">
        <v>753</v>
      </c>
      <c r="L25" s="1033"/>
      <c r="M25" s="1034"/>
    </row>
    <row r="26" spans="1:37">
      <c r="A26" s="928" t="s">
        <v>397</v>
      </c>
      <c r="B26" s="294" t="s">
        <v>754</v>
      </c>
      <c r="C26" s="21">
        <f ca="1">ROUND((C19+C20)*F26,0)</f>
        <v>441</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10415</v>
      </c>
      <c r="D29" s="1029"/>
      <c r="E29" s="1027"/>
      <c r="F29" s="1030"/>
      <c r="G29" s="1302"/>
      <c r="H29" s="325" t="s">
        <v>396</v>
      </c>
      <c r="I29" s="326" t="s">
        <v>768</v>
      </c>
      <c r="J29" s="327">
        <f ca="1">ROUND(J26/(1+F40)^F41,0)</f>
        <v>0</v>
      </c>
      <c r="K29" s="328" t="s">
        <v>769</v>
      </c>
      <c r="L29" s="329"/>
      <c r="M29" s="330">
        <f ca="1">INDIRECT("'数据-取费表'!k"&amp;$G$1)</f>
        <v>23852.28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190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66</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IF(项目基本情况!B11="自然人","——",ROUND(C6*F32/(1+'数据-取费表'!C42),2))</f>
        <v>19.75</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43.09</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3.16</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21058.43</v>
      </c>
      <c r="G35" s="1291"/>
      <c r="H35" s="2468"/>
      <c r="I35" s="1304"/>
      <c r="J35" s="1305"/>
      <c r="K35" s="2472"/>
      <c r="L35" s="2471"/>
      <c r="M35" s="2471"/>
    </row>
    <row r="36" spans="1:18" ht="18" customHeight="1">
      <c r="A36" s="1039" t="s">
        <v>402</v>
      </c>
      <c r="B36" s="294" t="s">
        <v>738</v>
      </c>
      <c r="C36" s="21">
        <f ca="1">ROUND(C29*F36,2)</f>
        <v>104.15</v>
      </c>
      <c r="D36" s="1255" t="s">
        <v>771</v>
      </c>
      <c r="E36" s="294" t="s">
        <v>712</v>
      </c>
      <c r="F36" s="320">
        <f ca="1">INDIRECT("'数据-取费表'!Ak"&amp;$G$1)</f>
        <v>0.01</v>
      </c>
      <c r="G36" s="1291"/>
      <c r="H36" s="2471"/>
      <c r="I36" s="1304"/>
      <c r="J36" s="1305"/>
      <c r="K36" s="2328"/>
      <c r="L36" s="2471"/>
      <c r="M36" s="2471"/>
    </row>
    <row r="37" spans="1:18" ht="18" customHeight="1">
      <c r="A37" s="928" t="s">
        <v>437</v>
      </c>
      <c r="B37" s="294" t="s">
        <v>742</v>
      </c>
      <c r="C37" s="21">
        <f ca="1">ROUND(C13*F37,2)</f>
        <v>15.62</v>
      </c>
      <c r="D37" s="1255" t="s">
        <v>743</v>
      </c>
      <c r="E37" s="294" t="s">
        <v>712</v>
      </c>
      <c r="F37" s="321">
        <f ca="1">INDIRECT("'数据-取费表'!Al"&amp;$G$1)</f>
        <v>1.5E-3</v>
      </c>
      <c r="G37" s="1291"/>
      <c r="H37" s="2471"/>
      <c r="I37" s="1304"/>
      <c r="J37" s="1305"/>
      <c r="K37" s="2328"/>
      <c r="L37" s="2471"/>
      <c r="M37" s="2471"/>
    </row>
    <row r="38" spans="1:18" ht="18" customHeight="1" thickBot="1">
      <c r="A38" s="1026" t="s">
        <v>683</v>
      </c>
      <c r="B38" s="1027" t="s">
        <v>728</v>
      </c>
      <c r="C38" s="1028">
        <f ca="1">ROUND(C5*F38,2)</f>
        <v>3.77</v>
      </c>
      <c r="D38" s="1029" t="s">
        <v>748</v>
      </c>
      <c r="E38" s="1027" t="s">
        <v>712</v>
      </c>
      <c r="F38" s="1023">
        <f ca="1">INDIRECT("'数据-取费表'!Am"&amp;$G$1)</f>
        <v>0.01</v>
      </c>
      <c r="G38" s="1291"/>
      <c r="H38" s="2471"/>
      <c r="I38" s="1304"/>
      <c r="J38" s="1305"/>
      <c r="K38" s="2469"/>
      <c r="L38" s="2471"/>
      <c r="M38" s="2471"/>
    </row>
    <row r="39" spans="1:18" ht="24.6" customHeight="1" thickTop="1">
      <c r="A39" s="1016" t="s">
        <v>394</v>
      </c>
      <c r="B39" s="1031" t="s">
        <v>752</v>
      </c>
      <c r="C39" s="302">
        <f ca="1">C5-C30</f>
        <v>187</v>
      </c>
      <c r="D39" s="1032" t="s">
        <v>753</v>
      </c>
      <c r="E39" s="1033"/>
      <c r="F39" s="1034"/>
      <c r="G39" s="1291"/>
      <c r="H39" s="2471"/>
      <c r="I39" s="1304"/>
      <c r="J39" s="1305"/>
      <c r="K39" s="2469"/>
      <c r="L39" s="2471"/>
      <c r="M39" s="2471"/>
    </row>
    <row r="40" spans="1:18" ht="18" customHeight="1">
      <c r="A40" s="291" t="s">
        <v>395</v>
      </c>
      <c r="B40" s="292" t="s">
        <v>774</v>
      </c>
      <c r="C40" s="293">
        <f ca="1">ROUND(C39*(1-((1+F42)/(1+F40))^F41)/(F40-F42),0)</f>
        <v>3467</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28.020000000000003</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1454</v>
      </c>
      <c r="D43" s="328" t="s">
        <v>777</v>
      </c>
      <c r="E43" s="329" t="s">
        <v>778</v>
      </c>
      <c r="F43" s="330">
        <f ca="1">INDIRECT("'数据-取费表'!k"&amp;$G$1)</f>
        <v>23852.28</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f ca="1">C68-C40</f>
        <v>-5300</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3700</v>
      </c>
      <c r="K47" s="1322" t="s">
        <v>816</v>
      </c>
      <c r="L47" s="1323">
        <f ca="1">INDIRECT("'数据-取费表'!d"&amp;$G$1)</f>
        <v>50</v>
      </c>
      <c r="M47" s="1287" t="str">
        <f>IF(ISNUMBER(FIND("住宅",C1)),"住宅","非住宅")</f>
        <v>非住宅</v>
      </c>
      <c r="O47" s="1324" t="s">
        <v>403</v>
      </c>
      <c r="P47" s="1325" t="s">
        <v>817</v>
      </c>
      <c r="Q47" s="1326">
        <f ca="1">C40+J29</f>
        <v>3467</v>
      </c>
      <c r="R47" s="1326" t="s">
        <v>818</v>
      </c>
    </row>
    <row r="48" spans="1:18" s="1291" customFormat="1" ht="28.5" thickBot="1">
      <c r="A48" s="1047" t="s">
        <v>438</v>
      </c>
      <c r="B48" s="292" t="s">
        <v>692</v>
      </c>
      <c r="C48" s="1267">
        <f ca="1">C49+C53+C55</f>
        <v>0</v>
      </c>
      <c r="D48" s="1049"/>
      <c r="E48" s="1050"/>
      <c r="F48" s="908"/>
      <c r="G48" s="681"/>
      <c r="H48" s="682"/>
      <c r="I48" s="1327" t="s">
        <v>819</v>
      </c>
      <c r="J48" s="1328" t="s">
        <v>3701</v>
      </c>
      <c r="K48" s="1329" t="s">
        <v>820</v>
      </c>
      <c r="L48" s="1330">
        <f ca="1">INDIRECT("'数据-取费表'!f"&amp;$G$1)</f>
        <v>28.42</v>
      </c>
      <c r="O48" s="1324" t="s">
        <v>404</v>
      </c>
      <c r="P48" s="1325" t="s">
        <v>821</v>
      </c>
      <c r="Q48" s="1326" t="str">
        <f ca="1">J60</f>
        <v>0</v>
      </c>
      <c r="R48" s="1326" t="s">
        <v>822</v>
      </c>
    </row>
    <row r="49" spans="1:18" s="1291" customFormat="1" ht="13.5" thickBot="1">
      <c r="A49" s="921" t="s">
        <v>439</v>
      </c>
      <c r="B49" s="1278" t="s">
        <v>779</v>
      </c>
      <c r="C49" s="1051">
        <f ca="1">ROUND(F49*F51*F50*(1-F52)/10000,0)</f>
        <v>0</v>
      </c>
      <c r="D49" s="992" t="s">
        <v>2104</v>
      </c>
      <c r="E49" s="1279" t="s">
        <v>780</v>
      </c>
      <c r="F49" s="997"/>
      <c r="H49" s="682"/>
      <c r="I49" s="1327" t="s">
        <v>823</v>
      </c>
      <c r="J49" s="1331">
        <v>2024</v>
      </c>
      <c r="K49" s="1329" t="s">
        <v>824</v>
      </c>
      <c r="L49" s="1332"/>
      <c r="O49" s="1333" t="s">
        <v>405</v>
      </c>
      <c r="P49" s="1325" t="s">
        <v>825</v>
      </c>
      <c r="Q49" s="1326">
        <f ca="1">C29</f>
        <v>10415</v>
      </c>
      <c r="R49" s="1326" t="s">
        <v>818</v>
      </c>
    </row>
    <row r="50" spans="1:18" s="1291" customFormat="1" ht="13.5" thickBot="1">
      <c r="A50" s="922"/>
      <c r="B50" s="925"/>
      <c r="C50" s="1055"/>
      <c r="D50" s="899"/>
      <c r="E50" s="993" t="s">
        <v>697</v>
      </c>
      <c r="F50" s="994">
        <f ca="1">F7</f>
        <v>499</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60</v>
      </c>
      <c r="K51" s="1338" t="s">
        <v>830</v>
      </c>
      <c r="L51" s="1339">
        <f ca="1">ROUND(-PV(INDIRECT("'数据-取费表'!h"&amp;$G$1),J51,(C39-C13*C76),0),0)</f>
        <v>-11187</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28.020000000000003</v>
      </c>
      <c r="R52" s="1326" t="s">
        <v>835</v>
      </c>
    </row>
    <row r="53" spans="1:18" s="1291" customFormat="1" ht="24.75" thickBot="1">
      <c r="A53" s="1078"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28.020000000000003</v>
      </c>
      <c r="K53" s="3410" t="s">
        <v>837</v>
      </c>
      <c r="L53" s="3411"/>
      <c r="O53" s="1324" t="s">
        <v>409</v>
      </c>
      <c r="P53" s="1325" t="s">
        <v>838</v>
      </c>
      <c r="Q53" s="1326">
        <f ca="1">Q47+Q48</f>
        <v>3467</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3">
        <v>2</v>
      </c>
      <c r="B56" s="904" t="s">
        <v>704</v>
      </c>
      <c r="C56" s="224">
        <f ca="1">C13</f>
        <v>10415</v>
      </c>
      <c r="D56" s="1351"/>
      <c r="E56" s="1352"/>
      <c r="F56" s="1344"/>
      <c r="I56" s="1353" t="s">
        <v>842</v>
      </c>
      <c r="J56" s="1354" t="s">
        <v>3514</v>
      </c>
      <c r="K56" s="1327" t="s">
        <v>843</v>
      </c>
      <c r="L56" s="1330" t="str">
        <f ca="1">IF(L48&lt;J51,"——",L48-J53)</f>
        <v>——</v>
      </c>
      <c r="O56" s="1324" t="s">
        <v>403</v>
      </c>
      <c r="P56" s="1325" t="s">
        <v>817</v>
      </c>
      <c r="Q56" s="1326">
        <f ca="1">C40+J29</f>
        <v>3467</v>
      </c>
      <c r="R56" s="1326" t="s">
        <v>818</v>
      </c>
    </row>
    <row r="57" spans="1:18" s="1291" customFormat="1" ht="24.75" thickBot="1">
      <c r="A57" s="1355"/>
      <c r="B57" s="896" t="s">
        <v>767</v>
      </c>
      <c r="C57" s="230">
        <f ca="1">C29</f>
        <v>10415</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123</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727</v>
      </c>
      <c r="C61" s="21">
        <f ca="1">IF(项目基本情况!B11="自然人","——",IF(D61="按租金收入计税",ROUND(C49*F61/(1+'数据-取费表'!C42),2),IF(D61="按房产原值计税",ROUND(C57*F61*0.7,2),INDIRECT("'数据-取费表'!Aj"&amp;$G$1))))</f>
        <v>0</v>
      </c>
      <c r="D61" s="1277" t="s">
        <v>3330</v>
      </c>
      <c r="E61" s="896" t="s">
        <v>712</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5" thickBot="1">
      <c r="A62" s="928" t="s">
        <v>784</v>
      </c>
      <c r="B62" s="895" t="s">
        <v>730</v>
      </c>
      <c r="C62" s="22">
        <f ca="1">IF(项目基本情况!B11="自然人","——",ROUND(F62*F63/10000,2))</f>
        <v>3.16</v>
      </c>
      <c r="D62" s="911" t="s">
        <v>731</v>
      </c>
      <c r="E62" s="896" t="s">
        <v>732</v>
      </c>
      <c r="F62" s="317">
        <f t="shared" si="0"/>
        <v>1.5</v>
      </c>
      <c r="I62" s="1366" t="s">
        <v>858</v>
      </c>
      <c r="J62" s="610" t="s">
        <v>859</v>
      </c>
      <c r="K62" s="610" t="s">
        <v>860</v>
      </c>
      <c r="L62" s="610" t="s">
        <v>861</v>
      </c>
      <c r="M62" s="1367" t="s">
        <v>862</v>
      </c>
      <c r="O62" s="1324" t="s">
        <v>409</v>
      </c>
      <c r="P62" s="1325" t="s">
        <v>838</v>
      </c>
      <c r="Q62" s="1326">
        <f ca="1">Q56+Q57</f>
        <v>3467</v>
      </c>
      <c r="R62" s="1326" t="s">
        <v>410</v>
      </c>
    </row>
    <row r="63" spans="1:18" s="1291" customFormat="1" ht="13.5" thickBot="1">
      <c r="A63" s="318"/>
      <c r="B63" s="902"/>
      <c r="C63" s="26"/>
      <c r="D63" s="912"/>
      <c r="E63" s="896" t="s">
        <v>736</v>
      </c>
      <c r="F63" s="295">
        <f t="shared" ca="1" si="0"/>
        <v>21058.43</v>
      </c>
      <c r="I63" s="1366" t="s">
        <v>864</v>
      </c>
      <c r="J63" s="610">
        <v>70</v>
      </c>
      <c r="K63" s="610">
        <v>50</v>
      </c>
      <c r="L63" s="610">
        <v>80</v>
      </c>
      <c r="M63" s="1368">
        <v>0.02</v>
      </c>
      <c r="O63" s="1309" t="s">
        <v>865</v>
      </c>
      <c r="P63" s="1288"/>
      <c r="Q63" s="1288"/>
      <c r="R63" s="1288"/>
    </row>
    <row r="64" spans="1:18" s="1291" customFormat="1" ht="13.5" thickBot="1">
      <c r="A64" s="928" t="s">
        <v>402</v>
      </c>
      <c r="B64" s="896" t="s">
        <v>738</v>
      </c>
      <c r="C64" s="21">
        <f ca="1">ROUND(C57*F64,2)</f>
        <v>104.15</v>
      </c>
      <c r="D64" s="910" t="s">
        <v>771</v>
      </c>
      <c r="E64" s="896" t="s">
        <v>712</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15.62</v>
      </c>
      <c r="D65" s="910" t="s">
        <v>743</v>
      </c>
      <c r="E65" s="896" t="s">
        <v>712</v>
      </c>
      <c r="F65" s="321">
        <f t="shared" ca="1" si="0"/>
        <v>1.5E-3</v>
      </c>
      <c r="I65" s="1366" t="s">
        <v>867</v>
      </c>
      <c r="J65" s="610">
        <v>40</v>
      </c>
      <c r="K65" s="610">
        <v>30</v>
      </c>
      <c r="L65" s="610">
        <v>50</v>
      </c>
      <c r="M65" s="1368">
        <v>0.02</v>
      </c>
      <c r="O65" s="1324" t="s">
        <v>403</v>
      </c>
      <c r="P65" s="1325" t="s">
        <v>817</v>
      </c>
      <c r="Q65" s="1326">
        <f ca="1">C40+J29</f>
        <v>3467</v>
      </c>
      <c r="R65" s="1326" t="s">
        <v>818</v>
      </c>
    </row>
    <row r="66" spans="1:18" s="1291" customFormat="1" ht="16.5" thickBot="1">
      <c r="A66" s="928" t="s">
        <v>793</v>
      </c>
      <c r="B66" s="896" t="s">
        <v>728</v>
      </c>
      <c r="C66" s="21">
        <f ca="1">ROUND(C48*F66,2)</f>
        <v>0</v>
      </c>
      <c r="D66" s="910" t="s">
        <v>748</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-123</v>
      </c>
      <c r="D67" s="909" t="s">
        <v>753</v>
      </c>
      <c r="E67" s="914"/>
      <c r="F67" s="915"/>
      <c r="O67" s="1333" t="s">
        <v>405</v>
      </c>
      <c r="P67" s="1325" t="s">
        <v>850</v>
      </c>
      <c r="Q67" s="1369">
        <f ca="1">L51</f>
        <v>-11187</v>
      </c>
      <c r="R67" s="1326" t="s">
        <v>870</v>
      </c>
    </row>
    <row r="68" spans="1:18" s="1291" customFormat="1" ht="16.5" thickBot="1">
      <c r="A68" s="893" t="s">
        <v>395</v>
      </c>
      <c r="B68" s="894" t="s">
        <v>774</v>
      </c>
      <c r="C68" s="293">
        <f ca="1">ROUND(C67*(1-((1+F70)/(1+F68))^F69)/(F68-F70),0)</f>
        <v>-1833</v>
      </c>
      <c r="D68" s="911" t="s">
        <v>758</v>
      </c>
      <c r="E68" s="896" t="s">
        <v>759</v>
      </c>
      <c r="F68" s="304">
        <f ca="1">F40</f>
        <v>0.05</v>
      </c>
      <c r="O68" s="1333" t="s">
        <v>406</v>
      </c>
      <c r="P68" s="1370" t="s">
        <v>871</v>
      </c>
      <c r="Q68" s="1326">
        <f ca="1">ROUND(Q69-Q70*Q71,0)</f>
        <v>-542</v>
      </c>
      <c r="R68" s="1326" t="s">
        <v>414</v>
      </c>
    </row>
    <row r="69" spans="1:18" s="1291" customFormat="1" ht="13.5" thickBot="1">
      <c r="A69" s="897"/>
      <c r="B69" s="898"/>
      <c r="C69" s="298"/>
      <c r="D69" s="916" t="s">
        <v>762</v>
      </c>
      <c r="E69" s="896" t="s">
        <v>763</v>
      </c>
      <c r="F69" s="324">
        <f ca="1">F41</f>
        <v>28.020000000000003</v>
      </c>
      <c r="O69" s="1333" t="s">
        <v>411</v>
      </c>
      <c r="P69" s="1370" t="s">
        <v>872</v>
      </c>
      <c r="Q69" s="1326">
        <f ca="1">C39</f>
        <v>187</v>
      </c>
      <c r="R69" s="1326" t="s">
        <v>818</v>
      </c>
    </row>
    <row r="70" spans="1:18" s="1291" customFormat="1" ht="13.5" thickBot="1">
      <c r="A70" s="900"/>
      <c r="B70" s="901"/>
      <c r="C70" s="302"/>
      <c r="D70" s="912"/>
      <c r="E70" s="896" t="s">
        <v>766</v>
      </c>
      <c r="F70" s="991"/>
      <c r="O70" s="1333" t="s">
        <v>412</v>
      </c>
      <c r="P70" s="1370" t="s">
        <v>873</v>
      </c>
      <c r="Q70" s="1326">
        <f ca="1">C13</f>
        <v>10415</v>
      </c>
      <c r="R70" s="1326" t="s">
        <v>818</v>
      </c>
    </row>
    <row r="71" spans="1:18" s="1291" customFormat="1" ht="13.5" thickBot="1">
      <c r="A71" s="917" t="s">
        <v>396</v>
      </c>
      <c r="B71" s="918" t="s">
        <v>776</v>
      </c>
      <c r="C71" s="327">
        <f ca="1">ROUND(C68*10000/F71,0)</f>
        <v>-768</v>
      </c>
      <c r="D71" s="919" t="s">
        <v>777</v>
      </c>
      <c r="E71" s="920" t="s">
        <v>778</v>
      </c>
      <c r="F71" s="330">
        <f ca="1">F43</f>
        <v>23852.28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5" thickBot="1">
      <c r="A75" s="1291"/>
      <c r="B75" s="331" t="s">
        <v>795</v>
      </c>
      <c r="C75" s="332">
        <f ca="1">ROUND(C13*C76,0)</f>
        <v>729</v>
      </c>
      <c r="D75" s="1291"/>
      <c r="E75" s="1291"/>
      <c r="F75" s="1291"/>
      <c r="K75" s="1308"/>
      <c r="L75" s="1291"/>
      <c r="O75" s="1324" t="s">
        <v>409</v>
      </c>
      <c r="P75" s="1325" t="s">
        <v>838</v>
      </c>
      <c r="Q75" s="1326">
        <f ca="1">Q65+Q66</f>
        <v>3467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-2.8980000000000001</v>
      </c>
    </row>
    <row r="80" spans="1:18">
      <c r="B80" s="331" t="s">
        <v>800</v>
      </c>
      <c r="C80" s="266">
        <f ca="1">ROUND(C75/C39,3)</f>
        <v>3.8980000000000001</v>
      </c>
    </row>
    <row r="81" spans="2:3">
      <c r="B81" s="262" t="s">
        <v>801</v>
      </c>
      <c r="C81" s="230"/>
    </row>
    <row r="82" spans="2:3">
      <c r="B82" s="265" t="s">
        <v>802</v>
      </c>
      <c r="C82" s="267">
        <f ca="1">1-C83</f>
        <v>-2.004</v>
      </c>
    </row>
    <row r="83" spans="2:3">
      <c r="B83" s="265" t="s">
        <v>803</v>
      </c>
      <c r="C83" s="266">
        <f ca="1">ROUND(C13/C40,3)</f>
        <v>3.004</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xr:uid="{00000000-0002-0000-2100-000000000000}">
      <formula1>"在建（套用方法）,土地（套用方法）,——"</formula1>
    </dataValidation>
    <dataValidation type="list" allowBlank="1" showInputMessage="1" showErrorMessage="1" sqref="M10 F10 F53" xr:uid="{00000000-0002-0000-2100-000001000000}">
      <formula1>"押一,押二,押三,自定义"</formula1>
    </dataValidation>
    <dataValidation type="list" allowBlank="1" showInputMessage="1" showErrorMessage="1" sqref="L55" xr:uid="{00000000-0002-0000-2100-000002000000}">
      <formula1>"比较法,基准地价,收益还原"</formula1>
    </dataValidation>
    <dataValidation type="list" allowBlank="1" showInputMessage="1" showErrorMessage="1" sqref="J56" xr:uid="{00000000-0002-0000-2100-000003000000}">
      <formula1>估价范围判定</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47" xr:uid="{00000000-0002-0000-2100-000005000000}">
      <formula1>"钢,钢混,砖混"</formula1>
    </dataValidation>
    <dataValidation type="list" allowBlank="1" showInputMessage="1" showErrorMessage="1" sqref="C1" xr:uid="{00000000-0002-0000-2100-000006000000}">
      <formula1>项目类型</formula1>
    </dataValidation>
    <dataValidation type="list" allowBlank="1" showInputMessage="1" showErrorMessage="1" sqref="D33 D61" xr:uid="{00000000-0002-0000-2100-000007000000}">
      <formula1>"按租金收入计税,按房产原值计税,按票据"</formula1>
    </dataValidation>
    <dataValidation type="list" allowBlank="1" showInputMessage="1" showErrorMessage="1" sqref="K19" xr:uid="{00000000-0002-0000-21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G20" sqref="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139467.97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860"/>
      <c r="M4" s="861"/>
      <c r="N4" s="861"/>
      <c r="O4" s="861"/>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860"/>
      <c r="M5" s="861"/>
      <c r="N5" s="861"/>
      <c r="O5" s="861"/>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860"/>
      <c r="M6" s="861"/>
      <c r="N6" s="861"/>
      <c r="O6" s="861"/>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1"/>
      <c r="Q16" s="1262"/>
      <c r="R16" s="667"/>
      <c r="S16" s="668"/>
      <c r="T16" s="667"/>
      <c r="U16" s="668"/>
      <c r="V16" s="667"/>
      <c r="W16" s="668"/>
      <c r="X16" s="1264"/>
      <c r="Y16" s="337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1"/>
      <c r="Q18" s="1262"/>
      <c r="R18" s="667"/>
      <c r="S18" s="668"/>
      <c r="T18" s="667"/>
      <c r="U18" s="668"/>
      <c r="V18" s="667"/>
      <c r="W18" s="668"/>
      <c r="X18" s="1264"/>
      <c r="Y18" s="337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1"/>
      <c r="Q20" s="1262"/>
      <c r="R20" s="667"/>
      <c r="S20" s="668"/>
      <c r="T20" s="667"/>
      <c r="U20" s="668"/>
      <c r="V20" s="667"/>
      <c r="W20" s="668"/>
      <c r="X20" s="1264"/>
      <c r="Y20" s="337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1"/>
      <c r="Q22" s="1262"/>
      <c r="R22" s="667"/>
      <c r="S22" s="668"/>
      <c r="T22" s="667"/>
      <c r="U22" s="668"/>
      <c r="V22" s="667"/>
      <c r="W22" s="668"/>
      <c r="X22" s="1264"/>
      <c r="Y22" s="337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1"/>
      <c r="Q24" s="1262"/>
      <c r="R24" s="667"/>
      <c r="S24" s="668"/>
      <c r="T24" s="667"/>
      <c r="U24" s="668"/>
      <c r="V24" s="667"/>
      <c r="W24" s="668"/>
      <c r="X24" s="1264"/>
      <c r="Y24" s="337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2">
        <f>B25</f>
        <v>111</v>
      </c>
      <c r="R25" s="667" t="s">
        <v>14</v>
      </c>
      <c r="S25" s="668">
        <f>F25</f>
        <v>100</v>
      </c>
      <c r="T25" s="667" t="s">
        <v>14</v>
      </c>
      <c r="U25" s="668">
        <f>H25</f>
        <v>100</v>
      </c>
      <c r="V25" s="667" t="s">
        <v>14</v>
      </c>
      <c r="W25" s="668">
        <f>J25</f>
        <v>100</v>
      </c>
      <c r="X25" s="1264"/>
      <c r="Y25" s="337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2">
        <f t="shared" ref="Q26:Q40" si="11">B26</f>
        <v>111</v>
      </c>
      <c r="R26" s="667" t="s">
        <v>14</v>
      </c>
      <c r="S26" s="668">
        <f>F26</f>
        <v>100</v>
      </c>
      <c r="T26" s="667" t="s">
        <v>14</v>
      </c>
      <c r="U26" s="668">
        <f>H26</f>
        <v>100</v>
      </c>
      <c r="V26" s="667" t="s">
        <v>14</v>
      </c>
      <c r="W26" s="668">
        <f>J26</f>
        <v>100</v>
      </c>
      <c r="X26" s="1264"/>
      <c r="Y26" s="337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2">
        <f t="shared" si="11"/>
        <v>111</v>
      </c>
      <c r="R28" s="667" t="s">
        <v>14</v>
      </c>
      <c r="S28" s="668">
        <f t="shared" ref="S28:S40" si="12">F28</f>
        <v>100</v>
      </c>
      <c r="T28" s="667" t="s">
        <v>14</v>
      </c>
      <c r="U28" s="668">
        <f t="shared" ref="U28:U40" si="13">H28</f>
        <v>100</v>
      </c>
      <c r="V28" s="667" t="s">
        <v>14</v>
      </c>
      <c r="W28" s="668">
        <f t="shared" ref="W28:W40" si="14">J28</f>
        <v>100</v>
      </c>
      <c r="X28" s="1264"/>
      <c r="Y28" s="337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72" t="s">
        <v>1696</v>
      </c>
      <c r="Q29" s="1262" t="str">
        <f t="shared" si="11"/>
        <v>建筑类型</v>
      </c>
      <c r="R29" s="667" t="s">
        <v>14</v>
      </c>
      <c r="S29" s="668">
        <f t="shared" si="12"/>
        <v>100</v>
      </c>
      <c r="T29" s="667" t="s">
        <v>14</v>
      </c>
      <c r="U29" s="668">
        <f t="shared" si="13"/>
        <v>100</v>
      </c>
      <c r="V29" s="667" t="s">
        <v>14</v>
      </c>
      <c r="W29" s="668">
        <f t="shared" si="14"/>
        <v>100</v>
      </c>
      <c r="X29" s="1264"/>
      <c r="Y29" s="337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2" t="str">
        <f t="shared" si="11"/>
        <v>建筑结构</v>
      </c>
      <c r="R31" s="667" t="s">
        <v>14</v>
      </c>
      <c r="S31" s="668">
        <f t="shared" si="12"/>
        <v>100</v>
      </c>
      <c r="T31" s="667" t="s">
        <v>14</v>
      </c>
      <c r="U31" s="668">
        <f t="shared" si="13"/>
        <v>100</v>
      </c>
      <c r="V31" s="667" t="s">
        <v>14</v>
      </c>
      <c r="W31" s="668">
        <f t="shared" si="14"/>
        <v>100</v>
      </c>
      <c r="X31" s="1264"/>
      <c r="Y31" s="337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2" t="str">
        <f t="shared" si="11"/>
        <v>公共部分装修</v>
      </c>
      <c r="R32" s="667" t="s">
        <v>14</v>
      </c>
      <c r="S32" s="668">
        <f t="shared" si="12"/>
        <v>100</v>
      </c>
      <c r="T32" s="667" t="s">
        <v>14</v>
      </c>
      <c r="U32" s="668">
        <f t="shared" si="13"/>
        <v>100</v>
      </c>
      <c r="V32" s="667" t="s">
        <v>14</v>
      </c>
      <c r="W32" s="668">
        <f t="shared" si="14"/>
        <v>100</v>
      </c>
      <c r="X32" s="1264"/>
      <c r="Y32" s="337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2" t="str">
        <f t="shared" si="11"/>
        <v>成新度</v>
      </c>
      <c r="R33" s="667" t="s">
        <v>14</v>
      </c>
      <c r="S33" s="668" t="e">
        <f t="shared" si="12"/>
        <v>#N/A</v>
      </c>
      <c r="T33" s="667" t="s">
        <v>14</v>
      </c>
      <c r="U33" s="668" t="e">
        <f t="shared" si="13"/>
        <v>#N/A</v>
      </c>
      <c r="V33" s="667" t="s">
        <v>14</v>
      </c>
      <c r="W33" s="668" t="e">
        <f t="shared" si="14"/>
        <v>#N/A</v>
      </c>
      <c r="X33" s="1264"/>
      <c r="Y33" s="337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2" t="str">
        <f t="shared" si="11"/>
        <v>市政基础设施</v>
      </c>
      <c r="R35" s="667" t="s">
        <v>14</v>
      </c>
      <c r="S35" s="668">
        <f t="shared" si="12"/>
        <v>100</v>
      </c>
      <c r="T35" s="667" t="s">
        <v>14</v>
      </c>
      <c r="U35" s="668">
        <f t="shared" si="13"/>
        <v>100</v>
      </c>
      <c r="V35" s="667" t="s">
        <v>14</v>
      </c>
      <c r="W35" s="668">
        <f t="shared" si="14"/>
        <v>100</v>
      </c>
      <c r="X35" s="1264"/>
      <c r="Y35" s="337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2" t="str">
        <f t="shared" si="11"/>
        <v>内部装修</v>
      </c>
      <c r="R36" s="667" t="s">
        <v>14</v>
      </c>
      <c r="S36" s="668">
        <f t="shared" si="12"/>
        <v>100</v>
      </c>
      <c r="T36" s="667" t="s">
        <v>14</v>
      </c>
      <c r="U36" s="668">
        <f t="shared" si="13"/>
        <v>100</v>
      </c>
      <c r="V36" s="667" t="s">
        <v>14</v>
      </c>
      <c r="W36" s="668">
        <f t="shared" si="14"/>
        <v>100</v>
      </c>
      <c r="X36" s="1264"/>
      <c r="Y36" s="337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2" t="str">
        <f t="shared" si="11"/>
        <v>内部装修状况</v>
      </c>
      <c r="R37" s="667" t="s">
        <v>14</v>
      </c>
      <c r="S37" s="668">
        <f t="shared" si="12"/>
        <v>100</v>
      </c>
      <c r="T37" s="667" t="s">
        <v>14</v>
      </c>
      <c r="U37" s="668">
        <f t="shared" si="13"/>
        <v>100</v>
      </c>
      <c r="V37" s="667" t="s">
        <v>14</v>
      </c>
      <c r="W37" s="668">
        <f t="shared" si="14"/>
        <v>100</v>
      </c>
      <c r="X37" s="1264"/>
      <c r="Y37" s="337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2">
        <f t="shared" si="11"/>
        <v>111</v>
      </c>
      <c r="R39" s="667" t="s">
        <v>14</v>
      </c>
      <c r="S39" s="668">
        <f t="shared" si="12"/>
        <v>100</v>
      </c>
      <c r="T39" s="667" t="s">
        <v>14</v>
      </c>
      <c r="U39" s="668">
        <f t="shared" si="13"/>
        <v>100</v>
      </c>
      <c r="V39" s="667" t="s">
        <v>14</v>
      </c>
      <c r="W39" s="668">
        <f t="shared" si="14"/>
        <v>100</v>
      </c>
      <c r="X39" s="1264"/>
      <c r="Y39" s="337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2">
        <f t="shared" si="11"/>
        <v>111</v>
      </c>
      <c r="R40" s="667" t="s">
        <v>14</v>
      </c>
      <c r="S40" s="668">
        <f t="shared" si="12"/>
        <v>100</v>
      </c>
      <c r="T40" s="667" t="s">
        <v>14</v>
      </c>
      <c r="U40" s="668">
        <f t="shared" si="13"/>
        <v>100</v>
      </c>
      <c r="V40" s="667" t="s">
        <v>14</v>
      </c>
      <c r="W40" s="668">
        <f t="shared" si="14"/>
        <v>100</v>
      </c>
      <c r="X40" s="1264"/>
      <c r="Y40" s="343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69" t="str">
        <f>A41</f>
        <v>成交单价（元/平方米）</v>
      </c>
      <c r="Q41" s="3369"/>
      <c r="R41" s="3374">
        <f>E41</f>
        <v>0</v>
      </c>
      <c r="S41" s="3374"/>
      <c r="T41" s="3374">
        <f>G41</f>
        <v>0</v>
      </c>
      <c r="U41" s="3374"/>
      <c r="V41" s="3374">
        <f>I41</f>
        <v>0</v>
      </c>
      <c r="W41" s="3374"/>
      <c r="X41" s="385"/>
      <c r="Y41" s="673"/>
      <c r="Z41" s="385"/>
      <c r="AA41" s="385"/>
      <c r="AB41" s="385"/>
      <c r="AC41" s="385"/>
    </row>
    <row r="42" spans="1:29" ht="15.75" thickBot="1">
      <c r="A42" s="423" t="s">
        <v>1793</v>
      </c>
      <c r="B42" s="424"/>
      <c r="C42" s="1081" t="e">
        <f>R43</f>
        <v>#DIV/0!</v>
      </c>
      <c r="D42" s="2140" t="s">
        <v>2134</v>
      </c>
      <c r="E42" s="1082" t="e">
        <f>R42</f>
        <v>#DIV/0!</v>
      </c>
      <c r="F42" s="2141"/>
      <c r="G42" s="1081" t="e">
        <f>T42</f>
        <v>#DIV/0!</v>
      </c>
      <c r="H42" s="2141"/>
      <c r="I42" s="1082" t="e">
        <f>V42</f>
        <v>#DIV/0!</v>
      </c>
      <c r="J42" s="2141"/>
      <c r="K42" s="2143">
        <f>F42+H42+J42</f>
        <v>0</v>
      </c>
      <c r="L42" s="873"/>
      <c r="M42" s="861"/>
      <c r="N42" s="861"/>
      <c r="O42" s="861"/>
      <c r="P42" s="3369" t="str">
        <f>A42</f>
        <v>比较价值（元/平方米）</v>
      </c>
      <c r="Q42" s="3369"/>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G20" sqref="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69"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9"/>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71"/>
      <c r="Q15" s="1262"/>
      <c r="R15" s="667"/>
      <c r="S15" s="668"/>
      <c r="T15" s="667"/>
      <c r="U15" s="668"/>
      <c r="V15" s="667"/>
      <c r="W15" s="668"/>
      <c r="X15" s="1264"/>
      <c r="Y15" s="3371"/>
      <c r="Z15" s="1263"/>
      <c r="AA15" s="1263">
        <v>1</v>
      </c>
      <c r="AB15" s="1263">
        <v>1</v>
      </c>
      <c r="AC15" s="1263">
        <v>1</v>
      </c>
    </row>
    <row r="16" spans="1:29" ht="15">
      <c r="A16" s="348"/>
      <c r="B16" s="556" t="s">
        <v>1812</v>
      </c>
      <c r="C16" s="1753"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71"/>
      <c r="Q17" s="1262"/>
      <c r="R17" s="667"/>
      <c r="S17" s="668"/>
      <c r="T17" s="667"/>
      <c r="U17" s="668"/>
      <c r="V17" s="667"/>
      <c r="W17" s="668"/>
      <c r="X17" s="1264"/>
      <c r="Y17" s="3371"/>
      <c r="Z17" s="1263"/>
      <c r="AA17" s="1263">
        <v>1</v>
      </c>
      <c r="AB17" s="1263">
        <v>1</v>
      </c>
      <c r="AC17" s="1263">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71"/>
      <c r="Q19" s="1262"/>
      <c r="R19" s="667"/>
      <c r="S19" s="668"/>
      <c r="T19" s="667"/>
      <c r="U19" s="668"/>
      <c r="V19" s="667"/>
      <c r="W19" s="668"/>
      <c r="X19" s="1264"/>
      <c r="Y19" s="3371"/>
      <c r="Z19" s="1263"/>
      <c r="AA19" s="1263">
        <v>1</v>
      </c>
      <c r="AB19" s="1263">
        <v>1</v>
      </c>
      <c r="AC19" s="1263">
        <v>1</v>
      </c>
    </row>
    <row r="20" spans="1:29" ht="15">
      <c r="A20" s="348"/>
      <c r="B20" s="556" t="s">
        <v>1834</v>
      </c>
      <c r="C20" s="1753"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71"/>
      <c r="Q21" s="1262"/>
      <c r="R21" s="667"/>
      <c r="S21" s="668"/>
      <c r="T21" s="667"/>
      <c r="U21" s="668"/>
      <c r="V21" s="667"/>
      <c r="W21" s="668"/>
      <c r="X21" s="1264"/>
      <c r="Y21" s="337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1"/>
      <c r="Q24" s="1262">
        <f t="shared" ref="Q24:Q36"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7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3"/>
      <c r="Q28" s="1262" t="str">
        <f t="shared" si="11"/>
        <v>公共部分装修</v>
      </c>
      <c r="R28" s="667" t="s">
        <v>14</v>
      </c>
      <c r="S28" s="668">
        <f t="shared" si="12"/>
        <v>100</v>
      </c>
      <c r="T28" s="667" t="s">
        <v>14</v>
      </c>
      <c r="U28" s="668">
        <f t="shared" si="13"/>
        <v>100</v>
      </c>
      <c r="V28" s="667" t="s">
        <v>14</v>
      </c>
      <c r="W28" s="668">
        <f t="shared" si="14"/>
        <v>100</v>
      </c>
      <c r="X28" s="1264"/>
      <c r="Y28" s="337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3"/>
      <c r="Q29" s="1262" t="str">
        <f t="shared" si="11"/>
        <v>成新率</v>
      </c>
      <c r="R29" s="667" t="s">
        <v>14</v>
      </c>
      <c r="S29" s="668" t="e">
        <f t="shared" si="12"/>
        <v>#N/A</v>
      </c>
      <c r="T29" s="667" t="s">
        <v>14</v>
      </c>
      <c r="U29" s="668" t="e">
        <f t="shared" si="13"/>
        <v>#N/A</v>
      </c>
      <c r="V29" s="667" t="s">
        <v>14</v>
      </c>
      <c r="W29" s="668" t="e">
        <f t="shared" si="14"/>
        <v>#N/A</v>
      </c>
      <c r="X29" s="1264"/>
      <c r="Y29" s="337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3"/>
      <c r="Q30" s="1262" t="str">
        <f t="shared" si="11"/>
        <v>物业等级</v>
      </c>
      <c r="R30" s="667" t="s">
        <v>14</v>
      </c>
      <c r="S30" s="668">
        <f t="shared" si="12"/>
        <v>100</v>
      </c>
      <c r="T30" s="667" t="s">
        <v>14</v>
      </c>
      <c r="U30" s="668">
        <f t="shared" si="13"/>
        <v>100</v>
      </c>
      <c r="V30" s="667" t="s">
        <v>14</v>
      </c>
      <c r="W30" s="668">
        <f t="shared" si="14"/>
        <v>100</v>
      </c>
      <c r="X30" s="1264"/>
      <c r="Y30" s="337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3" t="s">
        <v>1696</v>
      </c>
      <c r="Q32" s="1262" t="str">
        <f t="shared" si="11"/>
        <v>车位类型</v>
      </c>
      <c r="R32" s="667" t="s">
        <v>14</v>
      </c>
      <c r="S32" s="668">
        <f t="shared" si="12"/>
        <v>100</v>
      </c>
      <c r="T32" s="667" t="s">
        <v>14</v>
      </c>
      <c r="U32" s="668">
        <f t="shared" si="13"/>
        <v>100</v>
      </c>
      <c r="V32" s="667" t="s">
        <v>14</v>
      </c>
      <c r="W32" s="668">
        <f t="shared" si="14"/>
        <v>100</v>
      </c>
      <c r="X32" s="1264"/>
      <c r="Y32" s="337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3"/>
      <c r="Q33" s="1262" t="str">
        <f t="shared" si="11"/>
        <v>是否直接入户</v>
      </c>
      <c r="R33" s="667" t="s">
        <v>14</v>
      </c>
      <c r="S33" s="668">
        <f t="shared" si="12"/>
        <v>100</v>
      </c>
      <c r="T33" s="667" t="s">
        <v>14</v>
      </c>
      <c r="U33" s="668">
        <f t="shared" si="13"/>
        <v>100</v>
      </c>
      <c r="V33" s="667" t="s">
        <v>14</v>
      </c>
      <c r="W33" s="668">
        <f t="shared" si="14"/>
        <v>100</v>
      </c>
      <c r="X33" s="1264"/>
      <c r="Y33" s="337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3"/>
      <c r="Q36" s="1262">
        <f t="shared" si="11"/>
        <v>111</v>
      </c>
      <c r="R36" s="667" t="s">
        <v>14</v>
      </c>
      <c r="S36" s="668">
        <f t="shared" si="12"/>
        <v>100</v>
      </c>
      <c r="T36" s="667" t="s">
        <v>14</v>
      </c>
      <c r="U36" s="668">
        <f t="shared" si="13"/>
        <v>100</v>
      </c>
      <c r="V36" s="667" t="s">
        <v>14</v>
      </c>
      <c r="W36" s="668">
        <f t="shared" si="14"/>
        <v>100</v>
      </c>
      <c r="X36" s="1264"/>
      <c r="Y36" s="3373"/>
      <c r="Z36" s="1263">
        <f t="shared" si="15"/>
        <v>111</v>
      </c>
      <c r="AA36" s="1263">
        <f t="shared" si="3"/>
        <v>1</v>
      </c>
      <c r="AB36" s="1263">
        <f t="shared" si="4"/>
        <v>1</v>
      </c>
      <c r="AC36" s="1263">
        <f t="shared" si="5"/>
        <v>1</v>
      </c>
    </row>
    <row r="37" spans="1:29" ht="15">
      <c r="A37" s="416" t="s">
        <v>1844</v>
      </c>
      <c r="B37" s="1820" t="s">
        <v>3348</v>
      </c>
      <c r="C37" s="1080" t="s">
        <v>0</v>
      </c>
      <c r="D37" s="418"/>
      <c r="E37" s="419"/>
      <c r="F37" s="420"/>
      <c r="G37" s="421"/>
      <c r="H37" s="422"/>
      <c r="I37" s="419"/>
      <c r="J37" s="422"/>
      <c r="K37" s="545"/>
      <c r="L37" s="2492"/>
      <c r="M37" s="2485"/>
      <c r="N37" s="2485"/>
      <c r="O37" s="2485"/>
      <c r="P37" s="3369" t="str">
        <f>A37</f>
        <v>成交单价</v>
      </c>
      <c r="Q37" s="3369"/>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81" t="e">
        <f>R39</f>
        <v>#DIV/0!</v>
      </c>
      <c r="D38" s="2140" t="s">
        <v>2134</v>
      </c>
      <c r="E38" s="1082" t="e">
        <f>R38</f>
        <v>#DIV/0!</v>
      </c>
      <c r="F38" s="2141"/>
      <c r="G38" s="1081" t="e">
        <f>T38</f>
        <v>#DIV/0!</v>
      </c>
      <c r="H38" s="2141"/>
      <c r="I38" s="1082" t="e">
        <f>V38</f>
        <v>#DIV/0!</v>
      </c>
      <c r="J38" s="2141"/>
      <c r="K38" s="2143">
        <f>F38+H38+J38</f>
        <v>0</v>
      </c>
      <c r="L38" s="2492"/>
      <c r="M38" s="2485"/>
      <c r="N38" s="2485"/>
      <c r="O38" s="2485"/>
      <c r="P38" s="3369" t="str">
        <f>A38</f>
        <v>比较价值（元/平方米）</v>
      </c>
      <c r="Q38" s="3369"/>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63" t="str">
        <f>A39</f>
        <v>估价对象XX用房的比较价值（楼面单价，元/平方米）</v>
      </c>
      <c r="Q39" s="3364"/>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1"/>
      <c r="C47" s="886"/>
      <c r="D47" s="886"/>
      <c r="E47" s="886"/>
      <c r="F47" s="1087"/>
      <c r="G47" s="1087"/>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F20" sqref="F20: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c r="F7" s="357">
        <f>SUMIF(46:46,YEAR(E7)&amp;"-"&amp;MONTH(E7),47:47)</f>
        <v>0</v>
      </c>
      <c r="G7" s="1821"/>
      <c r="H7" s="355">
        <f>SUMIF(46:46,YEAR(G7)&amp;"-"&amp;MONTH(G7),47:47)</f>
        <v>0</v>
      </c>
      <c r="I7" s="356"/>
      <c r="J7" s="355">
        <f>SUMIF(46:46,YEAR(I7)&amp;"-"&amp;MONTH(I7),47:47)</f>
        <v>0</v>
      </c>
      <c r="K7" s="38"/>
      <c r="L7" s="2486"/>
      <c r="M7" s="2437"/>
      <c r="N7" s="2437"/>
      <c r="O7" s="2437"/>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69"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9"/>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71"/>
      <c r="Q15" s="1262"/>
      <c r="R15" s="667"/>
      <c r="S15" s="668"/>
      <c r="T15" s="667"/>
      <c r="U15" s="668"/>
      <c r="V15" s="667"/>
      <c r="W15" s="668"/>
      <c r="X15" s="1264"/>
      <c r="Y15" s="3371"/>
      <c r="Z15" s="1263"/>
      <c r="AA15" s="1263">
        <v>1</v>
      </c>
      <c r="AB15" s="1263">
        <v>1</v>
      </c>
      <c r="AC15" s="1263">
        <v>1</v>
      </c>
    </row>
    <row r="16" spans="1:29" ht="15">
      <c r="A16" s="367"/>
      <c r="B16" s="390" t="s">
        <v>1812</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71"/>
      <c r="Q17" s="1262"/>
      <c r="R17" s="667"/>
      <c r="S17" s="668"/>
      <c r="T17" s="667"/>
      <c r="U17" s="668"/>
      <c r="V17" s="667"/>
      <c r="W17" s="668"/>
      <c r="X17" s="1264"/>
      <c r="Y17" s="3371"/>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71"/>
      <c r="Q19" s="1262"/>
      <c r="R19" s="667"/>
      <c r="S19" s="668"/>
      <c r="T19" s="667"/>
      <c r="U19" s="668"/>
      <c r="V19" s="667"/>
      <c r="W19" s="668"/>
      <c r="X19" s="1264"/>
      <c r="Y19" s="3371"/>
      <c r="Z19" s="1263"/>
      <c r="AA19" s="1263">
        <v>1</v>
      </c>
      <c r="AB19" s="1263">
        <v>1</v>
      </c>
      <c r="AC19" s="1263">
        <v>1</v>
      </c>
    </row>
    <row r="20" spans="1:29" ht="15">
      <c r="A20" s="367"/>
      <c r="B20" s="390" t="s">
        <v>1834</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71"/>
      <c r="Q21" s="1262"/>
      <c r="R21" s="667"/>
      <c r="S21" s="668"/>
      <c r="T21" s="667"/>
      <c r="U21" s="668"/>
      <c r="V21" s="667"/>
      <c r="W21" s="668"/>
      <c r="X21" s="1264"/>
      <c r="Y21" s="337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1"/>
      <c r="Q24" s="1262">
        <f t="shared" ref="Q24:Q34"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7"/>
      <c r="N25" s="2437"/>
      <c r="O25" s="2538"/>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37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3"/>
      <c r="Q28" s="1262" t="str">
        <f t="shared" si="11"/>
        <v>物业等级</v>
      </c>
      <c r="R28" s="667" t="s">
        <v>14</v>
      </c>
      <c r="S28" s="668">
        <f t="shared" si="12"/>
        <v>100</v>
      </c>
      <c r="T28" s="667" t="s">
        <v>14</v>
      </c>
      <c r="U28" s="668">
        <f t="shared" si="13"/>
        <v>100</v>
      </c>
      <c r="V28" s="667" t="s">
        <v>14</v>
      </c>
      <c r="W28" s="668">
        <f t="shared" si="14"/>
        <v>100</v>
      </c>
      <c r="X28" s="1264"/>
      <c r="Y28" s="337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3"/>
      <c r="Q29" s="1262" t="str">
        <f t="shared" si="11"/>
        <v>有无电梯</v>
      </c>
      <c r="R29" s="667" t="s">
        <v>14</v>
      </c>
      <c r="S29" s="668">
        <f t="shared" si="12"/>
        <v>100</v>
      </c>
      <c r="T29" s="667" t="s">
        <v>14</v>
      </c>
      <c r="U29" s="668">
        <f t="shared" si="13"/>
        <v>100</v>
      </c>
      <c r="V29" s="667" t="s">
        <v>14</v>
      </c>
      <c r="W29" s="668">
        <f t="shared" si="14"/>
        <v>100</v>
      </c>
      <c r="X29" s="1264"/>
      <c r="Y29" s="337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3"/>
      <c r="Q30" s="1262" t="str">
        <f t="shared" si="11"/>
        <v>建筑面积</v>
      </c>
      <c r="R30" s="667" t="s">
        <v>14</v>
      </c>
      <c r="S30" s="668" t="e">
        <f t="shared" si="12"/>
        <v>#N/A</v>
      </c>
      <c r="T30" s="667" t="s">
        <v>14</v>
      </c>
      <c r="U30" s="668" t="e">
        <f t="shared" si="13"/>
        <v>#N/A</v>
      </c>
      <c r="V30" s="667" t="s">
        <v>14</v>
      </c>
      <c r="W30" s="668" t="e">
        <f t="shared" si="14"/>
        <v>#N/A</v>
      </c>
      <c r="X30" s="1264"/>
      <c r="Y30" s="337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3" t="s">
        <v>1696</v>
      </c>
      <c r="Q32" s="1262">
        <f t="shared" si="11"/>
        <v>111</v>
      </c>
      <c r="R32" s="667" t="s">
        <v>14</v>
      </c>
      <c r="S32" s="668">
        <f t="shared" si="12"/>
        <v>100</v>
      </c>
      <c r="T32" s="667" t="s">
        <v>14</v>
      </c>
      <c r="U32" s="668">
        <f t="shared" si="13"/>
        <v>100</v>
      </c>
      <c r="V32" s="667" t="s">
        <v>14</v>
      </c>
      <c r="W32" s="668">
        <f t="shared" si="14"/>
        <v>100</v>
      </c>
      <c r="X32" s="1264"/>
      <c r="Y32" s="337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3"/>
      <c r="Q33" s="1262">
        <f t="shared" si="11"/>
        <v>111</v>
      </c>
      <c r="R33" s="667" t="s">
        <v>14</v>
      </c>
      <c r="S33" s="668">
        <f t="shared" si="12"/>
        <v>100</v>
      </c>
      <c r="T33" s="667" t="s">
        <v>14</v>
      </c>
      <c r="U33" s="668">
        <f t="shared" si="13"/>
        <v>100</v>
      </c>
      <c r="V33" s="667" t="s">
        <v>14</v>
      </c>
      <c r="W33" s="668">
        <f t="shared" si="14"/>
        <v>100</v>
      </c>
      <c r="X33" s="1264"/>
      <c r="Y33" s="337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369" t="str">
        <f>A35</f>
        <v>成交单价（元/平方米）</v>
      </c>
      <c r="Q35" s="3369"/>
      <c r="R35" s="3374">
        <f>E35</f>
        <v>0</v>
      </c>
      <c r="S35" s="3374"/>
      <c r="T35" s="3374">
        <f>G35</f>
        <v>0</v>
      </c>
      <c r="U35" s="3374"/>
      <c r="V35" s="3374">
        <f>I35</f>
        <v>0</v>
      </c>
      <c r="W35" s="3374"/>
      <c r="X35" s="385"/>
      <c r="Y35" s="673"/>
      <c r="Z35" s="385"/>
      <c r="AA35" s="385"/>
      <c r="AB35" s="385"/>
      <c r="AC35" s="385"/>
    </row>
    <row r="36" spans="1:30" ht="15.75" thickBot="1">
      <c r="A36" s="423" t="s">
        <v>1793</v>
      </c>
      <c r="B36" s="424"/>
      <c r="C36" s="1081" t="e">
        <f>R37</f>
        <v>#DIV/0!</v>
      </c>
      <c r="D36" s="2140" t="s">
        <v>2134</v>
      </c>
      <c r="E36" s="1082" t="e">
        <f>R36</f>
        <v>#DIV/0!</v>
      </c>
      <c r="F36" s="2141"/>
      <c r="G36" s="1081" t="e">
        <f>T36</f>
        <v>#DIV/0!</v>
      </c>
      <c r="H36" s="2141"/>
      <c r="I36" s="1082" t="e">
        <f>V36</f>
        <v>#DIV/0!</v>
      </c>
      <c r="J36" s="2141"/>
      <c r="K36" s="2143">
        <f>F36+H36+J36</f>
        <v>0</v>
      </c>
      <c r="L36" s="2492"/>
      <c r="M36" s="2485"/>
      <c r="N36" s="2485"/>
      <c r="O36" s="2485"/>
      <c r="P36" s="3369" t="str">
        <f>A36</f>
        <v>比较价值（元/平方米）</v>
      </c>
      <c r="Q36" s="3369"/>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63" t="str">
        <f>A37</f>
        <v>估价对象XX用房的比较价值（楼面单价，元/平方米）</v>
      </c>
      <c r="Q37" s="3364"/>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20" sqref="F20:G2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464" t="s">
        <v>1919</v>
      </c>
      <c r="D6" s="3465"/>
      <c r="E6" s="3466" t="s">
        <v>1919</v>
      </c>
      <c r="F6" s="3467"/>
      <c r="G6" s="3464" t="s">
        <v>1919</v>
      </c>
      <c r="H6" s="3465"/>
      <c r="I6" s="3464" t="s">
        <v>1919</v>
      </c>
      <c r="J6" s="3465"/>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45596</v>
      </c>
      <c r="D7" s="355">
        <v>100</v>
      </c>
      <c r="E7" s="356"/>
      <c r="F7" s="357">
        <f>SUMIF(65:65,YEAR(E7)&amp;"-"&amp;INT((MONTH(E7)+2)/3),66:66)</f>
        <v>0</v>
      </c>
      <c r="G7" s="1821"/>
      <c r="H7" s="355">
        <f>SUMIF(65:65,YEAR(G7)&amp;"-"&amp;INT((MONTH(G7)+2)/3),66:66)</f>
        <v>0</v>
      </c>
      <c r="I7" s="1821"/>
      <c r="J7" s="355">
        <f>SUMIF(65:65,YEAR(I7)&amp;"-"&amp;INT((MONTH(I7)+2)/3),66:66)</f>
        <v>0</v>
      </c>
      <c r="K7" s="38"/>
      <c r="L7" s="2486"/>
      <c r="M7" s="2437"/>
      <c r="N7" s="2437"/>
      <c r="O7" s="2437"/>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7"/>
      <c r="N9" s="2437"/>
      <c r="O9" s="2538"/>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369"/>
      <c r="Q10" s="530" t="str">
        <f t="shared" si="6"/>
        <v>土地使用年限（年）</v>
      </c>
      <c r="R10" s="664" t="s">
        <v>14</v>
      </c>
      <c r="S10" s="665">
        <f t="shared" si="0"/>
        <v>113</v>
      </c>
      <c r="T10" s="664" t="s">
        <v>14</v>
      </c>
      <c r="U10" s="665">
        <f t="shared" si="1"/>
        <v>113</v>
      </c>
      <c r="V10" s="664" t="s">
        <v>14</v>
      </c>
      <c r="W10" s="665">
        <f t="shared" si="2"/>
        <v>113</v>
      </c>
      <c r="X10" s="666"/>
      <c r="Y10" s="326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9"/>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71"/>
      <c r="Q16" s="1262"/>
      <c r="R16" s="667"/>
      <c r="S16" s="668"/>
      <c r="T16" s="667"/>
      <c r="U16" s="668"/>
      <c r="V16" s="667"/>
      <c r="W16" s="668"/>
      <c r="X16" s="1264"/>
      <c r="Y16" s="337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71"/>
      <c r="Q18" s="1262"/>
      <c r="R18" s="667"/>
      <c r="S18" s="668"/>
      <c r="T18" s="667"/>
      <c r="U18" s="668"/>
      <c r="V18" s="667"/>
      <c r="W18" s="668"/>
      <c r="X18" s="1264"/>
      <c r="Y18" s="337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1"/>
      <c r="Q19" s="1262" t="str">
        <f t="shared" ref="Q19:Q33" si="8">B19</f>
        <v>区域土地利用方向</v>
      </c>
      <c r="R19" s="667" t="s">
        <v>14</v>
      </c>
      <c r="S19" s="668">
        <f>F19</f>
        <v>100</v>
      </c>
      <c r="T19" s="667" t="s">
        <v>14</v>
      </c>
      <c r="U19" s="668">
        <f>H19</f>
        <v>100</v>
      </c>
      <c r="V19" s="667" t="s">
        <v>14</v>
      </c>
      <c r="W19" s="668">
        <f>J19</f>
        <v>100</v>
      </c>
      <c r="X19" s="1264"/>
      <c r="Y19" s="337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71"/>
      <c r="Q20" s="1262"/>
      <c r="R20" s="667"/>
      <c r="S20" s="668"/>
      <c r="T20" s="667"/>
      <c r="U20" s="668"/>
      <c r="V20" s="667"/>
      <c r="W20" s="668"/>
      <c r="X20" s="1264"/>
      <c r="Y20" s="337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1"/>
      <c r="Q21" s="1262" t="str">
        <f t="shared" si="8"/>
        <v>环境状况</v>
      </c>
      <c r="R21" s="667" t="s">
        <v>14</v>
      </c>
      <c r="S21" s="668">
        <f>F21</f>
        <v>100</v>
      </c>
      <c r="T21" s="667" t="s">
        <v>14</v>
      </c>
      <c r="U21" s="668">
        <f>H21</f>
        <v>100</v>
      </c>
      <c r="V21" s="667" t="s">
        <v>14</v>
      </c>
      <c r="W21" s="668">
        <f>J21</f>
        <v>100</v>
      </c>
      <c r="X21" s="1264"/>
      <c r="Y21" s="337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71"/>
      <c r="Q22" s="1262"/>
      <c r="R22" s="667"/>
      <c r="S22" s="668"/>
      <c r="T22" s="667"/>
      <c r="U22" s="668"/>
      <c r="V22" s="667"/>
      <c r="W22" s="668"/>
      <c r="X22" s="1264"/>
      <c r="Y22" s="337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7"/>
      <c r="N24" s="2437"/>
      <c r="O24" s="2538"/>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7"/>
      <c r="N26" s="2437"/>
      <c r="O26" s="2538"/>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1"/>
      <c r="Q28" s="1262" t="str">
        <f t="shared" si="8"/>
        <v>毗邻道路的类型与等级</v>
      </c>
      <c r="R28" s="667" t="s">
        <v>14</v>
      </c>
      <c r="S28" s="668">
        <f t="shared" si="10"/>
        <v>100</v>
      </c>
      <c r="T28" s="667" t="s">
        <v>14</v>
      </c>
      <c r="U28" s="668">
        <f t="shared" si="11"/>
        <v>100</v>
      </c>
      <c r="V28" s="667" t="s">
        <v>14</v>
      </c>
      <c r="W28" s="668">
        <f t="shared" si="12"/>
        <v>100</v>
      </c>
      <c r="X28" s="1264"/>
      <c r="Y28" s="337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71"/>
      <c r="Q29" s="1262"/>
      <c r="R29" s="667"/>
      <c r="S29" s="668"/>
      <c r="T29" s="667"/>
      <c r="U29" s="668"/>
      <c r="V29" s="667"/>
      <c r="W29" s="668"/>
      <c r="X29" s="1264"/>
      <c r="Y29" s="337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1"/>
      <c r="Q30" s="1262" t="str">
        <f t="shared" si="8"/>
        <v>土地级别</v>
      </c>
      <c r="R30" s="667" t="s">
        <v>14</v>
      </c>
      <c r="S30" s="668">
        <f t="shared" si="10"/>
        <v>100</v>
      </c>
      <c r="T30" s="667" t="s">
        <v>14</v>
      </c>
      <c r="U30" s="668">
        <f t="shared" si="11"/>
        <v>100</v>
      </c>
      <c r="V30" s="667" t="s">
        <v>14</v>
      </c>
      <c r="W30" s="668">
        <f t="shared" si="12"/>
        <v>100</v>
      </c>
      <c r="X30" s="1264"/>
      <c r="Y30" s="337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1"/>
      <c r="Q31" s="1262">
        <f t="shared" si="8"/>
        <v>111</v>
      </c>
      <c r="R31" s="667" t="s">
        <v>14</v>
      </c>
      <c r="S31" s="668">
        <f t="shared" si="10"/>
        <v>100</v>
      </c>
      <c r="T31" s="667" t="s">
        <v>14</v>
      </c>
      <c r="U31" s="668">
        <f t="shared" si="11"/>
        <v>100</v>
      </c>
      <c r="V31" s="667" t="s">
        <v>14</v>
      </c>
      <c r="W31" s="668">
        <f t="shared" si="12"/>
        <v>100</v>
      </c>
      <c r="X31" s="1264"/>
      <c r="Y31" s="337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72" t="s">
        <v>1696</v>
      </c>
      <c r="Q32" s="1262">
        <f t="shared" si="8"/>
        <v>111</v>
      </c>
      <c r="R32" s="667" t="s">
        <v>14</v>
      </c>
      <c r="S32" s="668">
        <f t="shared" si="10"/>
        <v>100</v>
      </c>
      <c r="T32" s="667" t="s">
        <v>14</v>
      </c>
      <c r="U32" s="668">
        <f t="shared" si="11"/>
        <v>100</v>
      </c>
      <c r="V32" s="667" t="s">
        <v>14</v>
      </c>
      <c r="W32" s="668">
        <f t="shared" si="12"/>
        <v>100</v>
      </c>
      <c r="X32" s="1264"/>
      <c r="Y32" s="337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3"/>
      <c r="Q33" s="1262">
        <f t="shared" si="8"/>
        <v>111</v>
      </c>
      <c r="R33" s="669" t="s">
        <v>14</v>
      </c>
      <c r="S33" s="670">
        <f t="shared" si="10"/>
        <v>100</v>
      </c>
      <c r="T33" s="669" t="s">
        <v>14</v>
      </c>
      <c r="U33" s="670">
        <f t="shared" si="11"/>
        <v>100</v>
      </c>
      <c r="V33" s="669" t="s">
        <v>14</v>
      </c>
      <c r="W33" s="670">
        <f t="shared" si="12"/>
        <v>100</v>
      </c>
      <c r="X33" s="671"/>
      <c r="Y33" s="337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3"/>
      <c r="Q34" s="1262" t="str">
        <f>B34</f>
        <v>宗地面积</v>
      </c>
      <c r="R34" s="667" t="s">
        <v>14</v>
      </c>
      <c r="S34" s="668" t="e">
        <f t="shared" si="10"/>
        <v>#N/A</v>
      </c>
      <c r="T34" s="667" t="s">
        <v>14</v>
      </c>
      <c r="U34" s="668" t="e">
        <f t="shared" si="11"/>
        <v>#N/A</v>
      </c>
      <c r="V34" s="667" t="s">
        <v>14</v>
      </c>
      <c r="W34" s="668" t="e">
        <f t="shared" si="12"/>
        <v>#N/A</v>
      </c>
      <c r="X34" s="1264"/>
      <c r="Y34" s="337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73"/>
      <c r="Q35" s="1262" t="str">
        <f t="shared" ref="Q35:Q40" si="14">B35</f>
        <v>宗地形状</v>
      </c>
      <c r="R35" s="667" t="s">
        <v>14</v>
      </c>
      <c r="S35" s="668">
        <f t="shared" si="10"/>
        <v>100</v>
      </c>
      <c r="T35" s="667" t="s">
        <v>14</v>
      </c>
      <c r="U35" s="668">
        <f t="shared" si="11"/>
        <v>100</v>
      </c>
      <c r="V35" s="667" t="s">
        <v>14</v>
      </c>
      <c r="W35" s="668">
        <f t="shared" si="12"/>
        <v>100</v>
      </c>
      <c r="X35" s="1264"/>
      <c r="Y35" s="337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7"/>
      <c r="N36" s="2437"/>
      <c r="O36" s="2538"/>
      <c r="P36" s="3373"/>
      <c r="Q36" s="1262"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73" t="s">
        <v>1696</v>
      </c>
      <c r="Q37" s="1262" t="str">
        <f t="shared" si="14"/>
        <v>工程地质条件</v>
      </c>
      <c r="R37" s="667" t="s">
        <v>14</v>
      </c>
      <c r="S37" s="668">
        <f t="shared" si="10"/>
        <v>100</v>
      </c>
      <c r="T37" s="667" t="s">
        <v>14</v>
      </c>
      <c r="U37" s="668">
        <f t="shared" si="11"/>
        <v>100</v>
      </c>
      <c r="V37" s="667" t="s">
        <v>14</v>
      </c>
      <c r="W37" s="668">
        <f t="shared" si="12"/>
        <v>100</v>
      </c>
      <c r="X37" s="1264"/>
      <c r="Y37" s="337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3"/>
      <c r="Q38" s="1262">
        <f t="shared" si="14"/>
        <v>111</v>
      </c>
      <c r="R38" s="667" t="s">
        <v>14</v>
      </c>
      <c r="S38" s="668">
        <f t="shared" si="10"/>
        <v>100</v>
      </c>
      <c r="T38" s="667" t="s">
        <v>14</v>
      </c>
      <c r="U38" s="668">
        <f t="shared" si="11"/>
        <v>100</v>
      </c>
      <c r="V38" s="667" t="s">
        <v>14</v>
      </c>
      <c r="W38" s="668">
        <f t="shared" si="12"/>
        <v>100</v>
      </c>
      <c r="X38" s="1264"/>
      <c r="Y38" s="337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3"/>
      <c r="Q39" s="1262">
        <f t="shared" si="14"/>
        <v>111</v>
      </c>
      <c r="R39" s="667" t="s">
        <v>14</v>
      </c>
      <c r="S39" s="668">
        <f t="shared" si="10"/>
        <v>100</v>
      </c>
      <c r="T39" s="667" t="s">
        <v>14</v>
      </c>
      <c r="U39" s="668">
        <f t="shared" si="11"/>
        <v>100</v>
      </c>
      <c r="V39" s="667" t="s">
        <v>14</v>
      </c>
      <c r="W39" s="668">
        <f t="shared" si="12"/>
        <v>100</v>
      </c>
      <c r="X39" s="1264"/>
      <c r="Y39" s="337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3"/>
      <c r="Q40" s="1262">
        <f t="shared" si="14"/>
        <v>111</v>
      </c>
      <c r="R40" s="669" t="s">
        <v>14</v>
      </c>
      <c r="S40" s="670">
        <f t="shared" si="10"/>
        <v>100</v>
      </c>
      <c r="T40" s="669" t="s">
        <v>14</v>
      </c>
      <c r="U40" s="670">
        <f t="shared" si="11"/>
        <v>100</v>
      </c>
      <c r="V40" s="669" t="s">
        <v>14</v>
      </c>
      <c r="W40" s="670">
        <f t="shared" si="12"/>
        <v>100</v>
      </c>
      <c r="X40" s="671"/>
      <c r="Y40" s="337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369" t="str">
        <f>A41</f>
        <v>成交单价</v>
      </c>
      <c r="Q41" s="3369"/>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40" t="s">
        <v>2134</v>
      </c>
      <c r="E42" s="426" t="e">
        <f>R42</f>
        <v>#DIV/0!</v>
      </c>
      <c r="F42" s="2141"/>
      <c r="G42" s="425" t="e">
        <f>T42</f>
        <v>#DIV/0!</v>
      </c>
      <c r="H42" s="2141"/>
      <c r="I42" s="426" t="e">
        <f>V42</f>
        <v>#DIV/0!</v>
      </c>
      <c r="J42" s="2141"/>
      <c r="K42" s="2143">
        <f>F42+H42+J42</f>
        <v>0</v>
      </c>
      <c r="L42" s="2492"/>
      <c r="M42" s="2485"/>
      <c r="N42" s="2485"/>
      <c r="O42" s="2485"/>
      <c r="P42" s="3369" t="str">
        <f>A42</f>
        <v>比较价值（元/平方米）</v>
      </c>
      <c r="Q42" s="3369"/>
      <c r="R42" s="3362" t="e">
        <f>ROUND(PRODUCT(R41,AA7:AA40),0)</f>
        <v>#DIV/0!</v>
      </c>
      <c r="S42" s="3362"/>
      <c r="T42" s="3362" t="e">
        <f>ROUND(PRODUCT(T41,AB7:AB40),0)</f>
        <v>#DIV/0!</v>
      </c>
      <c r="U42" s="3362"/>
      <c r="V42" s="3362" t="e">
        <f>ROUND(PRODUCT(V41,AC7:AC40),0)</f>
        <v>#DIV/0!</v>
      </c>
      <c r="W42" s="33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63" t="str">
        <f>A43</f>
        <v>估价对象XX用房的比较价值（楼面单价，元/平方米）</v>
      </c>
      <c r="Q43" s="3364"/>
      <c r="R43" s="3365" t="e">
        <f>ROUND(IF(D42="简单平均",AVERAGE(R42:W42),R42*F42+T42*H42+V42*J42),0)</f>
        <v>#DIV/0!</v>
      </c>
      <c r="S43" s="3365"/>
      <c r="T43" s="3365"/>
      <c r="U43" s="3365"/>
      <c r="V43" s="3365"/>
      <c r="W43" s="336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366" t="s">
        <v>1887</v>
      </c>
      <c r="H50" s="336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106641.76</v>
      </c>
      <c r="F51" s="611" t="e">
        <f t="shared" ref="F51:F60" si="15">ROUND(B51*E51/10000,0)</f>
        <v>#DIV/0!</v>
      </c>
      <c r="G51" s="3368"/>
      <c r="H51" s="336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九级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九级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九级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九级</v>
      </c>
      <c r="I56" s="727">
        <f>SUMIF(修正!A57:A68,H56,修正!E57:E68)</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8973.9299999999985</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v>
      </c>
      <c r="D58" s="891">
        <v>0.25</v>
      </c>
      <c r="E58" s="209">
        <f>'数据-汇总表'!E13</f>
        <v>23852.28</v>
      </c>
      <c r="F58" s="611" t="e">
        <f t="shared" si="15"/>
        <v>#DIV/0!</v>
      </c>
      <c r="G58" s="839" t="s">
        <v>1900</v>
      </c>
      <c r="H58" s="834" t="str">
        <f>IF(G58="商业",项目基本情况!B37,IF(G58="办公",项目基本情况!C37,IF(G58="住宅",项目基本情况!D37,项目基本情况!E37)))</f>
        <v>九级</v>
      </c>
      <c r="I58" s="727">
        <f>SUMIF(修正!A57:A68,H58,修正!G57:G68)</f>
        <v>0.1</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4" t="s">
        <v>1892</v>
      </c>
      <c r="H59" s="834" t="str">
        <f>项目基本情况!B37</f>
        <v>九级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5" t="s">
        <v>1896</v>
      </c>
      <c r="H60" s="844" t="str">
        <f>项目基本情况!C37</f>
        <v>九级</v>
      </c>
      <c r="I60" s="727">
        <f>SUMIF(修正!A57:A68,H60,修正!G57:G68)</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123131.88</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F20" sqref="F20:G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5" t="e">
        <f ca="1">SUMIF(B6:B13,"&lt;&gt;#ref!",B6:B13)</f>
        <v>#DIV/0!</v>
      </c>
      <c r="C2" s="1983" t="s">
        <v>2074</v>
      </c>
      <c r="D2" s="1983" t="s">
        <v>2075</v>
      </c>
      <c r="E2" s="2395">
        <f ca="1">SUMIF(E6:E13,"&lt;&gt;#ref!",E6:E13)</f>
        <v>0</v>
      </c>
      <c r="F2" s="2542"/>
      <c r="G2" s="2542"/>
      <c r="H2" s="2542"/>
      <c r="I2" s="2542"/>
      <c r="J2" s="2542"/>
      <c r="K2" s="2542"/>
      <c r="L2" s="2542"/>
      <c r="M2" s="2542"/>
      <c r="N2" s="2542"/>
      <c r="O2" s="2542"/>
      <c r="P2" s="2542"/>
    </row>
    <row r="3" spans="1:16" ht="15.75">
      <c r="A3" s="1983" t="s">
        <v>2076</v>
      </c>
      <c r="B3" s="2385" t="e">
        <f ca="1">ROUND(B2*10000/E2,0)</f>
        <v>#DIV/0!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4"/>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3"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3"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3"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3"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3"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3"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3"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3"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估价结果一览表（市场价值不需“结果表-1”）</v>
      </c>
      <c r="B3" s="3179"/>
      <c r="C3" s="3179"/>
      <c r="D3" s="3179"/>
      <c r="E3" s="3179"/>
    </row>
    <row r="4" spans="1:5" ht="19.5" thickBot="1">
      <c r="A4" s="1390"/>
      <c r="B4" s="3177" t="s">
        <v>917</v>
      </c>
      <c r="C4" s="3177"/>
      <c r="D4" s="3177"/>
      <c r="E4" s="1390"/>
    </row>
    <row r="5" spans="1:5" ht="16.5" thickTop="1">
      <c r="B5" s="3175" t="s">
        <v>909</v>
      </c>
      <c r="C5" s="1391" t="s">
        <v>910</v>
      </c>
      <c r="D5" s="797">
        <f ca="1">结果表!H101</f>
        <v>392351</v>
      </c>
    </row>
    <row r="6" spans="1:5" ht="15.75">
      <c r="B6" s="3175"/>
      <c r="C6" s="1391" t="s">
        <v>911</v>
      </c>
      <c r="D6" s="797" t="str">
        <f ca="1">NUMBERSTRING(INT(D5*10000),2)&amp;"元整"</f>
        <v>叁拾玖亿贰仟叁佰伍拾壹万元整</v>
      </c>
    </row>
    <row r="7" spans="1:5" ht="15.75">
      <c r="B7" s="3180"/>
      <c r="C7" s="1392" t="s">
        <v>912</v>
      </c>
      <c r="D7" s="798">
        <f ca="1">结果表!H102</f>
        <v>28132</v>
      </c>
    </row>
    <row r="8" spans="1:5" ht="15.75">
      <c r="B8" s="3181" t="str">
        <f>结果表!E103</f>
        <v>2.估价师知悉的法定优先受偿款</v>
      </c>
      <c r="C8" s="1393" t="s">
        <v>913</v>
      </c>
      <c r="D8" s="798">
        <f>结果表!H103</f>
        <v>0</v>
      </c>
    </row>
    <row r="9" spans="1:5" ht="15.75">
      <c r="B9" s="318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4" t="str">
        <f>结果表!E107</f>
        <v>3.房地产抵押价值</v>
      </c>
      <c r="C13" s="1396" t="s">
        <v>910</v>
      </c>
      <c r="D13" s="800">
        <f ca="1">结果表!H107</f>
        <v>392351</v>
      </c>
    </row>
    <row r="14" spans="1:5" ht="15.75">
      <c r="B14" s="3175"/>
      <c r="C14" s="1391" t="s">
        <v>911</v>
      </c>
      <c r="D14" s="797" t="str">
        <f ca="1">NUMBERSTRING(INT(D13*10000),2)&amp;"元整"</f>
        <v>叁拾玖亿贰仟叁佰伍拾壹万元整</v>
      </c>
    </row>
    <row r="15" spans="1:5" ht="15">
      <c r="B15" s="3180"/>
      <c r="C15" s="1392" t="s">
        <v>921</v>
      </c>
      <c r="D15" s="806">
        <f ca="1">结果表!H108</f>
        <v>28132</v>
      </c>
    </row>
    <row r="16" spans="1:5" ht="15">
      <c r="B16" s="3181" t="str">
        <f>结果表!E109</f>
        <v>——</v>
      </c>
      <c r="C16" s="1396" t="s">
        <v>922</v>
      </c>
      <c r="D16" s="1397" t="str">
        <f>结果表!H109</f>
        <v>——</v>
      </c>
    </row>
    <row r="17" spans="1:5" ht="15.75">
      <c r="B17" s="3182"/>
      <c r="C17" s="1391" t="s">
        <v>923</v>
      </c>
      <c r="D17" s="797" t="e">
        <f>NUMBERSTRING(INT(D16*10000),2)&amp;"元整"</f>
        <v>#VALUE!</v>
      </c>
    </row>
    <row r="18" spans="1:5" ht="15">
      <c r="B18" s="3183"/>
      <c r="C18" s="1392" t="s">
        <v>912</v>
      </c>
      <c r="D18" s="806" t="str">
        <f>结果表!H110</f>
        <v>——</v>
      </c>
    </row>
    <row r="19" spans="1:5" ht="15.75">
      <c r="B19" s="3174" t="str">
        <f>结果表!E111</f>
        <v>——</v>
      </c>
      <c r="C19" s="1396" t="s">
        <v>910</v>
      </c>
      <c r="D19" s="798" t="str">
        <f>结果表!H111</f>
        <v>——</v>
      </c>
    </row>
    <row r="20" spans="1:5" ht="15.75">
      <c r="B20" s="3175"/>
      <c r="C20" s="1391" t="s">
        <v>923</v>
      </c>
      <c r="D20" s="797" t="e">
        <f>NUMBERSTRING(INT(D19*10000),2)&amp;"元整"</f>
        <v>#VALUE!</v>
      </c>
    </row>
    <row r="21" spans="1:5" ht="15.75" thickBot="1">
      <c r="B21" s="317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 zoomScaleNormal="80" zoomScaleSheetLayoutView="100" workbookViewId="0">
      <selection activeCell="F20" sqref="F20:G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6"/>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75"/>
      <c r="B4" s="3476"/>
      <c r="C4" s="3476"/>
      <c r="D4" s="3477"/>
      <c r="E4" s="3477"/>
      <c r="F4" s="3477"/>
      <c r="G4" s="3477"/>
      <c r="H4" s="3477"/>
      <c r="I4" s="3477"/>
      <c r="J4" s="3478"/>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3231</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72" t="s">
        <v>1960</v>
      </c>
      <c r="X8" s="347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74"/>
      <c r="X9" s="3062" t="s">
        <v>3262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3232</v>
      </c>
      <c r="B12" s="3011" t="s">
        <v>3233</v>
      </c>
      <c r="C12" s="3012"/>
      <c r="D12" s="3013" t="s">
        <v>3234</v>
      </c>
      <c r="E12" s="3014" t="s">
        <v>3235</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3236</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3237</v>
      </c>
      <c r="G14" s="3018" t="s">
        <v>3237</v>
      </c>
      <c r="H14" s="3018" t="s">
        <v>3237</v>
      </c>
      <c r="I14" s="3018" t="s">
        <v>3237</v>
      </c>
      <c r="J14" s="3018" t="s">
        <v>3237</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3238</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3239</v>
      </c>
      <c r="B17" s="3025" t="s">
        <v>3240</v>
      </c>
      <c r="C17" s="3034">
        <f>ROUND(IF(OR(E2="工业",E2="公共服务"),1,IF(AND(E18=0,E19=0),1,IF(AND(E18=J24,E19=G19),0.8,IF(E19=0,1+E17*(-0.2),1+E17*G17*(-0.2))))),4)</f>
        <v>1</v>
      </c>
      <c r="D17" s="3026" t="s">
        <v>3241</v>
      </c>
      <c r="E17" s="3034" t="e">
        <f>ROUND(G18/I18,2)</f>
        <v>#DIV/0!</v>
      </c>
      <c r="F17" s="3026" t="s">
        <v>3244</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7"/>
      <c r="C18" s="3032"/>
      <c r="D18" s="3027" t="s">
        <v>3242</v>
      </c>
      <c r="E18" s="2354"/>
      <c r="F18" s="3028" t="s">
        <v>3245</v>
      </c>
      <c r="G18" s="3032">
        <f>ROUND(1-(1/(POWER(1+G24,E18))),4)</f>
        <v>0</v>
      </c>
      <c r="H18" s="3028" t="s">
        <v>3247</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5" thickBot="1">
      <c r="A19" s="3038"/>
      <c r="B19" s="3039"/>
      <c r="C19" s="3040"/>
      <c r="D19" s="3040" t="s">
        <v>3243</v>
      </c>
      <c r="E19" s="3041"/>
      <c r="F19" s="3042" t="s">
        <v>3246</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4.25">
      <c r="A20" s="3479" t="s">
        <v>3248</v>
      </c>
      <c r="B20" s="159" t="s">
        <v>1994</v>
      </c>
      <c r="C20" s="3029" t="e">
        <f>ROUND(IF(F21="与级别开发程度一致",0,(G21-E21)/C21),0)</f>
        <v>#DIV/0!</v>
      </c>
      <c r="D20" s="3044" t="s">
        <v>1998</v>
      </c>
      <c r="E20" s="3045"/>
      <c r="F20" s="3485" t="s">
        <v>1995</v>
      </c>
      <c r="G20" s="3486"/>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15" thickBot="1">
      <c r="A21" s="348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75" thickBot="1">
      <c r="A22" s="1995" t="s">
        <v>363</v>
      </c>
      <c r="B22" s="1996" t="s">
        <v>2000</v>
      </c>
      <c r="C22" s="1997">
        <f>SUMIF(修正!C20:C51,E3,修正!E20:E51)</f>
        <v>0</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45596</v>
      </c>
      <c r="H23" s="3046" t="s">
        <v>3250</v>
      </c>
      <c r="I23" s="3047" t="str">
        <f>IF(H23="季度增幅（自定义）",SUMIF(N25:N28,E2,O25:O28),"")</f>
        <v/>
      </c>
      <c r="J23" s="3139" t="s">
        <v>3249</v>
      </c>
      <c r="K23" s="1061"/>
      <c r="L23" s="1896" t="s">
        <v>2004</v>
      </c>
      <c r="M23" s="1240">
        <f>ROUND(SUMIF(地价!B2:G2,E2,地价!B16:G16),0)</f>
        <v>0</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6" t="s">
        <v>366</v>
      </c>
      <c r="B25" s="1907" t="s">
        <v>3329</v>
      </c>
      <c r="C25" s="461">
        <f>IF(B25="容积率修正",IF(G3&lt;10,D26,J26),C27)</f>
        <v>0</v>
      </c>
      <c r="D25" s="1908"/>
      <c r="E25" s="1908"/>
      <c r="F25" s="1908"/>
      <c r="G25" s="1908"/>
      <c r="H25" s="1908"/>
      <c r="I25" s="1908"/>
      <c r="J25" s="1909"/>
      <c r="K25" s="1061"/>
      <c r="L25" s="2550"/>
      <c r="M25" s="2550"/>
      <c r="N25" s="1910" t="s">
        <v>2013</v>
      </c>
      <c r="O25" s="1092"/>
      <c r="P25" s="1093">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3252</v>
      </c>
      <c r="J26" s="374" t="str">
        <f>IF(G3&gt;=10,D115,"——")</f>
        <v>——</v>
      </c>
      <c r="K26" s="1061"/>
      <c r="L26" s="2550"/>
      <c r="M26" s="2550"/>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0"/>
      <c r="M28" s="2550"/>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3" t="s">
        <v>1936</v>
      </c>
      <c r="M30" s="3054" t="s">
        <v>1990</v>
      </c>
      <c r="N30" s="3054" t="s">
        <v>1991</v>
      </c>
      <c r="O30" s="3054" t="s">
        <v>1992</v>
      </c>
      <c r="P30" s="3054" t="s">
        <v>1993</v>
      </c>
      <c r="Q30" s="3057" t="s">
        <v>3256</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8" t="s">
        <v>3254</v>
      </c>
      <c r="G33" s="1940"/>
      <c r="H33" s="1940"/>
      <c r="I33" s="1940"/>
      <c r="J33" s="1941"/>
      <c r="K33" s="1056"/>
      <c r="L33" s="3051" t="s">
        <v>3257</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1" t="s">
        <v>3258</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3255</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3259</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3260</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4"/>
      <c r="B39" s="1883" t="s">
        <v>3253</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3261</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2118</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1" t="str">
        <f>估价对象房地状况!C18</f>
        <v>一般</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3263</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t="str">
        <f>估价对象房地状况!C24</f>
        <v>次干道-南环南路</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39" t="str">
        <f>估价对象房地状况!C21</f>
        <v>一般</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1" t="str">
        <f>估价对象房地状况!C22</f>
        <v>七通</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t="str">
        <f>估价对象房地状况!C20</f>
        <v>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1" t="str">
        <f>估价对象房地状况!C18</f>
        <v>一般</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3263</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t="str">
        <f>估价对象房地状况!C24</f>
        <v>次干道-南环南路</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39" t="str">
        <f>估价对象房地状况!C21</f>
        <v>一般</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39" t="str">
        <f>估价对象房地状况!C22</f>
        <v>七通</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t="str">
        <f>估价对象房地状况!C20</f>
        <v>一般</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t="str">
        <f>估价对象房地状况!C15</f>
        <v>一般</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1" t="str">
        <f>估价对象房地状况!C18</f>
        <v>一般</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3263</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t="str">
        <f>估价对象房地状况!C24</f>
        <v>次干道-南环南路</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39" t="str">
        <f>估价对象房地状况!C21</f>
        <v>一般</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39" t="str">
        <f>估价对象房地状况!C22</f>
        <v>七通</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t="str">
        <f>估价对象房地状况!C20</f>
        <v>一般</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3264</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2606</v>
      </c>
      <c r="B91" s="3077">
        <f>1+E93</f>
        <v>1</v>
      </c>
      <c r="C91" s="3070"/>
      <c r="D91" s="3071"/>
      <c r="E91" s="1674"/>
      <c r="F91" s="1674"/>
      <c r="G91" s="3072"/>
      <c r="H91" s="3073"/>
      <c r="I91" s="3074"/>
      <c r="J91" s="3075"/>
      <c r="K91" s="3075"/>
      <c r="L91" s="3075"/>
      <c r="M91" s="3075"/>
      <c r="N91" s="3075"/>
    </row>
    <row r="92" spans="1:37" ht="24.75">
      <c r="A92" s="3078" t="s">
        <v>3265</v>
      </c>
      <c r="B92" s="2307"/>
      <c r="C92" s="2307" t="s">
        <v>3274</v>
      </c>
      <c r="D92" s="2307" t="s">
        <v>3275</v>
      </c>
      <c r="E92" s="3050" t="s">
        <v>3276</v>
      </c>
      <c r="F92" s="3080" t="s">
        <v>3277</v>
      </c>
      <c r="G92" s="2307" t="s">
        <v>3278</v>
      </c>
      <c r="H92" s="3087" t="s">
        <v>3281</v>
      </c>
      <c r="I92" s="2307" t="s">
        <v>3282</v>
      </c>
      <c r="J92" s="2149" t="s">
        <v>3283</v>
      </c>
      <c r="K92" s="2149" t="s">
        <v>3284</v>
      </c>
      <c r="L92" s="2149" t="s">
        <v>3285</v>
      </c>
      <c r="M92" s="2149" t="s">
        <v>3286</v>
      </c>
      <c r="N92" s="2149" t="s">
        <v>3287</v>
      </c>
    </row>
    <row r="93" spans="1:37" ht="24">
      <c r="A93" s="3068" t="s">
        <v>3266</v>
      </c>
      <c r="B93" s="1220"/>
      <c r="C93" s="1886"/>
      <c r="D93" s="2307">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3267</v>
      </c>
      <c r="B94" s="3069" t="str">
        <f>估价对象房地状况!C18</f>
        <v>一般</v>
      </c>
      <c r="C94" s="1886"/>
      <c r="D94" s="2307">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3263</v>
      </c>
      <c r="B95" s="3069">
        <f>估价对象房地状况!C19</f>
        <v>0</v>
      </c>
      <c r="C95" s="1886"/>
      <c r="D95" s="2307">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3268</v>
      </c>
      <c r="B96" s="3084" t="s">
        <v>3279</v>
      </c>
      <c r="C96" s="1886"/>
      <c r="D96" s="2307">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3269</v>
      </c>
      <c r="B97" s="3069" t="str">
        <f>估价对象房地状况!C24</f>
        <v>次干道-南环南路</v>
      </c>
      <c r="C97" s="1886"/>
      <c r="D97" s="2307">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3270</v>
      </c>
      <c r="B98" s="3085" t="s">
        <v>3280</v>
      </c>
      <c r="C98" s="1886"/>
      <c r="D98" s="2307">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3271</v>
      </c>
      <c r="B99" s="3069" t="str">
        <f>估价对象房地状况!C21</f>
        <v>一般</v>
      </c>
      <c r="C99" s="1886"/>
      <c r="D99" s="2307">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3272</v>
      </c>
      <c r="B100" s="3069" t="str">
        <f>估价对象房地状况!C22</f>
        <v>七通</v>
      </c>
      <c r="C100" s="1886"/>
      <c r="D100" s="2307">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3273</v>
      </c>
      <c r="B101" s="3086" t="str">
        <f>估价对象房地状况!C20</f>
        <v>一般</v>
      </c>
      <c r="C101" s="1886"/>
      <c r="D101" s="2307">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81" t="s">
        <v>3288</v>
      </c>
      <c r="B103" s="3481"/>
      <c r="C103" s="3481"/>
      <c r="D103" s="3481"/>
      <c r="E103" s="3481"/>
      <c r="F103" s="3481"/>
      <c r="G103" s="3481"/>
      <c r="H103" s="3481"/>
      <c r="I103" s="3481"/>
      <c r="J103" s="3481"/>
      <c r="K103" s="1666"/>
      <c r="L103" s="1666"/>
      <c r="M103" s="1666"/>
      <c r="N103" s="1666"/>
    </row>
    <row r="104" spans="1:14">
      <c r="A104" s="3482" t="s">
        <v>3289</v>
      </c>
      <c r="B104" s="3482" t="s">
        <v>3290</v>
      </c>
      <c r="C104" s="3088" t="s">
        <v>3291</v>
      </c>
      <c r="D104" s="3089"/>
      <c r="E104" s="3089"/>
      <c r="F104" s="3089"/>
      <c r="G104" s="3089"/>
      <c r="H104" s="3089"/>
      <c r="I104" s="3089"/>
      <c r="J104" s="3090"/>
      <c r="K104" s="3091"/>
      <c r="L104" s="3091"/>
      <c r="M104" s="3091"/>
      <c r="N104" s="3091"/>
    </row>
    <row r="105" spans="1:14">
      <c r="A105" s="3482"/>
      <c r="B105" s="3482"/>
      <c r="C105" s="3092" t="s">
        <v>3292</v>
      </c>
      <c r="D105" s="3092" t="s">
        <v>3293</v>
      </c>
      <c r="E105" s="3092" t="s">
        <v>3294</v>
      </c>
      <c r="F105" s="3092" t="s">
        <v>3295</v>
      </c>
      <c r="G105" s="3092" t="s">
        <v>3296</v>
      </c>
      <c r="H105" s="3092" t="s">
        <v>3297</v>
      </c>
      <c r="I105" s="3092" t="s">
        <v>3298</v>
      </c>
      <c r="J105" s="3092" t="s">
        <v>3299</v>
      </c>
      <c r="K105" s="3092" t="s">
        <v>3300</v>
      </c>
      <c r="L105" s="3092" t="s">
        <v>3301</v>
      </c>
      <c r="M105" s="3092" t="s">
        <v>3302</v>
      </c>
      <c r="N105" s="3092" t="s">
        <v>3303</v>
      </c>
    </row>
    <row r="106" spans="1:14">
      <c r="A106" s="3468" t="s">
        <v>3304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3262</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1" t="s">
        <v>3305</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3306</v>
      </c>
      <c r="B116" s="3112">
        <f>G3</f>
        <v>0</v>
      </c>
      <c r="C116" s="3097" t="s">
        <v>3307</v>
      </c>
      <c r="D116" s="3098">
        <f>SUMPRODUCT((A118:A122=F116)*(B117:M117=H116)*B118:M122)</f>
        <v>0</v>
      </c>
      <c r="E116" s="162" t="s">
        <v>3308</v>
      </c>
      <c r="F116" s="3099">
        <f>E2</f>
        <v>0</v>
      </c>
      <c r="G116" s="162" t="s">
        <v>3309</v>
      </c>
      <c r="H116" s="3099">
        <f>G2</f>
        <v>0</v>
      </c>
      <c r="I116" s="162"/>
      <c r="J116" s="3100"/>
      <c r="K116" s="3100"/>
      <c r="L116" s="3100"/>
      <c r="M116" s="3100"/>
      <c r="N116" s="3095"/>
    </row>
    <row r="117" spans="1:14">
      <c r="A117" s="3101"/>
      <c r="B117" s="3102" t="s">
        <v>3310</v>
      </c>
      <c r="C117" s="3102" t="s">
        <v>3311</v>
      </c>
      <c r="D117" s="3102" t="s">
        <v>3312</v>
      </c>
      <c r="E117" s="3103" t="s">
        <v>3313</v>
      </c>
      <c r="F117" s="3103" t="s">
        <v>3314</v>
      </c>
      <c r="G117" s="3103" t="s">
        <v>3315</v>
      </c>
      <c r="H117" s="3104" t="s">
        <v>3316</v>
      </c>
      <c r="I117" s="3104" t="s">
        <v>3317</v>
      </c>
      <c r="J117" s="3105" t="s">
        <v>3318</v>
      </c>
      <c r="K117" s="3105" t="s">
        <v>3319</v>
      </c>
      <c r="L117" s="3105" t="s">
        <v>3320</v>
      </c>
      <c r="M117" s="3106" t="s">
        <v>3321</v>
      </c>
      <c r="N117" s="3095"/>
    </row>
    <row r="118" spans="1:14">
      <c r="A118" s="3055" t="s">
        <v>3322</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3323</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3324</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3325</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2606</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2588</v>
      </c>
      <c r="B1" s="2809" t="s">
        <v>2589</v>
      </c>
      <c r="C1" s="2809" t="s">
        <v>2590</v>
      </c>
      <c r="D1" s="2809" t="s">
        <v>2591</v>
      </c>
      <c r="E1" s="2809" t="s">
        <v>2592</v>
      </c>
      <c r="F1" s="2809" t="s">
        <v>2593</v>
      </c>
      <c r="G1" s="2809" t="s">
        <v>2594</v>
      </c>
      <c r="H1" s="2809" t="s">
        <v>2595</v>
      </c>
      <c r="I1" s="2809" t="s">
        <v>2596</v>
      </c>
      <c r="J1" s="2809" t="s">
        <v>2597</v>
      </c>
      <c r="K1" s="2809" t="s">
        <v>2598</v>
      </c>
      <c r="L1" s="2809" t="s">
        <v>2599</v>
      </c>
      <c r="M1" s="2810" t="s">
        <v>2600</v>
      </c>
    </row>
    <row r="2" spans="1:13" ht="19.5" customHeight="1">
      <c r="A2" s="2812" t="s">
        <v>2601</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2602</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2603</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2604</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2605</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2606</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2607</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2608</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2609</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2610</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2611</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2612</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2613</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2614</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2615</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2616</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2617</v>
      </c>
      <c r="B18" s="2834"/>
      <c r="C18" s="2835"/>
      <c r="D18" s="2835"/>
      <c r="E18" s="2834"/>
      <c r="F18" s="2835"/>
      <c r="G18" s="2835"/>
    </row>
    <row r="19" spans="1:13" ht="19.5" customHeight="1" thickBot="1">
      <c r="A19" s="2832" t="s">
        <v>2618</v>
      </c>
      <c r="B19" s="2837" t="s">
        <v>2619</v>
      </c>
      <c r="C19" s="2837" t="s">
        <v>2620</v>
      </c>
      <c r="D19" s="2838"/>
      <c r="E19" s="2832" t="s">
        <v>2621</v>
      </c>
      <c r="F19" s="2839"/>
      <c r="G19" s="2839"/>
    </row>
    <row r="20" spans="1:13" ht="19.5" customHeight="1">
      <c r="A20" s="3496" t="s">
        <v>2601</v>
      </c>
      <c r="B20" s="3491" t="s">
        <v>2622</v>
      </c>
      <c r="C20" s="2840" t="s">
        <v>2433</v>
      </c>
      <c r="D20" s="2841"/>
      <c r="E20" s="2842">
        <v>1</v>
      </c>
      <c r="F20" s="2843" t="s">
        <v>2434</v>
      </c>
      <c r="G20" s="2843"/>
    </row>
    <row r="21" spans="1:13" ht="19.5" customHeight="1">
      <c r="A21" s="3497"/>
      <c r="B21" s="3490"/>
      <c r="C21" s="2844" t="s">
        <v>2435</v>
      </c>
      <c r="D21" s="2845"/>
      <c r="E21" s="2846">
        <v>1</v>
      </c>
      <c r="F21" s="2843" t="s">
        <v>2436</v>
      </c>
      <c r="G21" s="2843"/>
    </row>
    <row r="22" spans="1:13" ht="19.5" customHeight="1">
      <c r="A22" s="3497"/>
      <c r="B22" s="3490"/>
      <c r="C22" s="2844" t="s">
        <v>2437</v>
      </c>
      <c r="D22" s="2845"/>
      <c r="E22" s="2846">
        <v>0.9</v>
      </c>
      <c r="F22" s="2843" t="s">
        <v>2438</v>
      </c>
      <c r="G22" s="2843"/>
    </row>
    <row r="23" spans="1:13" ht="19.5" customHeight="1">
      <c r="A23" s="3497"/>
      <c r="B23" s="3490"/>
      <c r="C23" s="2844" t="s">
        <v>2439</v>
      </c>
      <c r="D23" s="2845"/>
      <c r="E23" s="2846">
        <v>0.9</v>
      </c>
      <c r="F23" s="2843" t="s">
        <v>2440</v>
      </c>
      <c r="G23" s="2843"/>
    </row>
    <row r="24" spans="1:13" ht="19.5" customHeight="1">
      <c r="A24" s="3497"/>
      <c r="B24" s="3490"/>
      <c r="C24" s="2844" t="s">
        <v>2441</v>
      </c>
      <c r="D24" s="2845"/>
      <c r="E24" s="2846">
        <v>0.8</v>
      </c>
      <c r="F24" s="2843" t="s">
        <v>2442</v>
      </c>
      <c r="G24" s="2843"/>
    </row>
    <row r="25" spans="1:13" ht="19.5" customHeight="1" thickBot="1">
      <c r="A25" s="3498"/>
      <c r="B25" s="3492"/>
      <c r="C25" s="2847" t="s">
        <v>2443</v>
      </c>
      <c r="D25" s="2848"/>
      <c r="E25" s="2849">
        <v>0.8</v>
      </c>
      <c r="F25" s="2843" t="s">
        <v>2444</v>
      </c>
      <c r="G25" s="2843"/>
    </row>
    <row r="26" spans="1:13" ht="19.5" customHeight="1" thickBot="1">
      <c r="A26" s="2850" t="s">
        <v>2623</v>
      </c>
      <c r="B26" s="2851" t="s">
        <v>2622</v>
      </c>
      <c r="C26" s="2852" t="s">
        <v>2624</v>
      </c>
      <c r="D26" s="2853"/>
      <c r="E26" s="2854">
        <v>1</v>
      </c>
      <c r="F26" s="2843" t="s">
        <v>2445</v>
      </c>
      <c r="G26" s="2843"/>
    </row>
    <row r="27" spans="1:13" ht="19.5" customHeight="1">
      <c r="A27" s="3493" t="s">
        <v>2625</v>
      </c>
      <c r="B27" s="3491" t="s">
        <v>2606</v>
      </c>
      <c r="C27" s="2840" t="s">
        <v>2446</v>
      </c>
      <c r="D27" s="2841"/>
      <c r="E27" s="2842">
        <v>1</v>
      </c>
      <c r="F27" s="2843" t="s">
        <v>2447</v>
      </c>
      <c r="G27" s="2843"/>
    </row>
    <row r="28" spans="1:13" ht="19.5" customHeight="1">
      <c r="A28" s="3494"/>
      <c r="B28" s="3490"/>
      <c r="C28" s="2844" t="s">
        <v>2448</v>
      </c>
      <c r="D28" s="2845"/>
      <c r="E28" s="2846">
        <v>1</v>
      </c>
      <c r="F28" s="2843" t="s">
        <v>2449</v>
      </c>
      <c r="G28" s="2843"/>
    </row>
    <row r="29" spans="1:13" ht="19.5" customHeight="1">
      <c r="A29" s="3494"/>
      <c r="B29" s="3490"/>
      <c r="C29" s="2844" t="s">
        <v>2450</v>
      </c>
      <c r="D29" s="2845"/>
      <c r="E29" s="2846">
        <v>0.8</v>
      </c>
      <c r="F29" s="2843" t="s">
        <v>2451</v>
      </c>
      <c r="G29" s="2843"/>
    </row>
    <row r="30" spans="1:13" ht="19.5" customHeight="1">
      <c r="A30" s="3494"/>
      <c r="B30" s="3490"/>
      <c r="C30" s="2844" t="s">
        <v>2452</v>
      </c>
      <c r="D30" s="2845"/>
      <c r="E30" s="2846">
        <v>0.8</v>
      </c>
      <c r="F30" s="2843" t="s">
        <v>2453</v>
      </c>
      <c r="G30" s="2843"/>
    </row>
    <row r="31" spans="1:13" ht="19.5" customHeight="1">
      <c r="A31" s="3494"/>
      <c r="B31" s="3490"/>
      <c r="C31" s="2844" t="s">
        <v>2454</v>
      </c>
      <c r="D31" s="2845"/>
      <c r="E31" s="2846">
        <v>0.8</v>
      </c>
      <c r="F31" s="2843" t="s">
        <v>2455</v>
      </c>
      <c r="G31" s="2843"/>
    </row>
    <row r="32" spans="1:13" ht="19.5" customHeight="1">
      <c r="A32" s="3494"/>
      <c r="B32" s="3490"/>
      <c r="C32" s="2844" t="s">
        <v>2456</v>
      </c>
      <c r="D32" s="2845"/>
      <c r="E32" s="2846">
        <v>0.7</v>
      </c>
      <c r="F32" s="2843" t="s">
        <v>2457</v>
      </c>
      <c r="G32" s="2843"/>
    </row>
    <row r="33" spans="1:7" ht="19.5" customHeight="1">
      <c r="A33" s="3494"/>
      <c r="B33" s="3490"/>
      <c r="C33" s="2844" t="s">
        <v>2458</v>
      </c>
      <c r="D33" s="2845"/>
      <c r="E33" s="2846">
        <v>0.8</v>
      </c>
      <c r="F33" s="2843" t="s">
        <v>2459</v>
      </c>
      <c r="G33" s="2843"/>
    </row>
    <row r="34" spans="1:7" ht="19.5" customHeight="1">
      <c r="A34" s="3494"/>
      <c r="B34" s="3490"/>
      <c r="C34" s="2844" t="s">
        <v>2460</v>
      </c>
      <c r="D34" s="2845"/>
      <c r="E34" s="2846">
        <v>0.6</v>
      </c>
      <c r="F34" s="2843" t="s">
        <v>2461</v>
      </c>
      <c r="G34" s="2843"/>
    </row>
    <row r="35" spans="1:7" ht="19.5" customHeight="1">
      <c r="A35" s="3494"/>
      <c r="B35" s="3490"/>
      <c r="C35" s="2844" t="s">
        <v>2462</v>
      </c>
      <c r="D35" s="2845"/>
      <c r="E35" s="2846">
        <v>0.2</v>
      </c>
      <c r="F35" s="2843" t="s">
        <v>2463</v>
      </c>
      <c r="G35" s="2843"/>
    </row>
    <row r="36" spans="1:7" ht="19.5" customHeight="1">
      <c r="A36" s="3494"/>
      <c r="B36" s="3490"/>
      <c r="C36" s="2844" t="s">
        <v>2464</v>
      </c>
      <c r="D36" s="2845"/>
      <c r="E36" s="2846">
        <v>0.2</v>
      </c>
      <c r="F36" s="2843" t="s">
        <v>2465</v>
      </c>
      <c r="G36" s="2843"/>
    </row>
    <row r="37" spans="1:7" ht="19.5" customHeight="1">
      <c r="A37" s="3494"/>
      <c r="B37" s="3488" t="s">
        <v>2626</v>
      </c>
      <c r="C37" s="2844" t="s">
        <v>2466</v>
      </c>
      <c r="D37" s="2845"/>
      <c r="E37" s="2846">
        <v>0.6</v>
      </c>
      <c r="F37" s="2843" t="s">
        <v>2467</v>
      </c>
      <c r="G37" s="2843"/>
    </row>
    <row r="38" spans="1:7" ht="19.5" customHeight="1">
      <c r="A38" s="3494"/>
      <c r="B38" s="3490"/>
      <c r="C38" s="2844" t="s">
        <v>2468</v>
      </c>
      <c r="D38" s="2845"/>
      <c r="E38" s="2846">
        <v>0.6</v>
      </c>
      <c r="F38" s="2843" t="s">
        <v>2469</v>
      </c>
      <c r="G38" s="2843"/>
    </row>
    <row r="39" spans="1:7" ht="19.5" customHeight="1" thickBot="1">
      <c r="A39" s="3495"/>
      <c r="B39" s="3492"/>
      <c r="C39" s="2847" t="s">
        <v>2470</v>
      </c>
      <c r="D39" s="2848"/>
      <c r="E39" s="2849">
        <v>0.6</v>
      </c>
      <c r="F39" s="2843" t="s">
        <v>2471</v>
      </c>
      <c r="G39" s="2843"/>
    </row>
    <row r="40" spans="1:7" ht="19.5" customHeight="1" thickBot="1">
      <c r="A40" s="2850" t="s">
        <v>2603</v>
      </c>
      <c r="B40" s="2851" t="s">
        <v>2603</v>
      </c>
      <c r="C40" s="2852" t="s">
        <v>2627</v>
      </c>
      <c r="D40" s="2853"/>
      <c r="E40" s="2854">
        <v>1</v>
      </c>
      <c r="F40" s="2843" t="s">
        <v>2472</v>
      </c>
      <c r="G40" s="2843"/>
    </row>
    <row r="41" spans="1:7" ht="19.5" customHeight="1">
      <c r="A41" s="3496" t="s">
        <v>2604</v>
      </c>
      <c r="B41" s="3491" t="s">
        <v>2628</v>
      </c>
      <c r="C41" s="2840" t="s">
        <v>2473</v>
      </c>
      <c r="D41" s="2841"/>
      <c r="E41" s="2842">
        <v>1</v>
      </c>
      <c r="F41" s="2843" t="s">
        <v>2474</v>
      </c>
      <c r="G41" s="2843"/>
    </row>
    <row r="42" spans="1:7" ht="19.5" customHeight="1">
      <c r="A42" s="3497"/>
      <c r="B42" s="3490"/>
      <c r="C42" s="2844" t="s">
        <v>2475</v>
      </c>
      <c r="D42" s="2845"/>
      <c r="E42" s="2846">
        <v>1</v>
      </c>
      <c r="F42" s="2843" t="s">
        <v>2476</v>
      </c>
      <c r="G42" s="2843"/>
    </row>
    <row r="43" spans="1:7" ht="19.5" customHeight="1">
      <c r="A43" s="3497"/>
      <c r="B43" s="3489"/>
      <c r="C43" s="2844" t="s">
        <v>2477</v>
      </c>
      <c r="D43" s="2845"/>
      <c r="E43" s="2846">
        <v>1.5</v>
      </c>
      <c r="F43" s="2843" t="s">
        <v>2478</v>
      </c>
      <c r="G43" s="2843"/>
    </row>
    <row r="44" spans="1:7" ht="19.5" customHeight="1">
      <c r="A44" s="3497"/>
      <c r="B44" s="2855" t="s">
        <v>2629</v>
      </c>
      <c r="C44" s="2844" t="s">
        <v>2630</v>
      </c>
      <c r="D44" s="2845"/>
      <c r="E44" s="2846">
        <v>2</v>
      </c>
      <c r="F44" s="2843" t="s">
        <v>2479</v>
      </c>
      <c r="G44" s="2843"/>
    </row>
    <row r="45" spans="1:7" ht="19.5" customHeight="1">
      <c r="A45" s="3497"/>
      <c r="B45" s="3488" t="s">
        <v>2631</v>
      </c>
      <c r="C45" s="2844" t="s">
        <v>2480</v>
      </c>
      <c r="D45" s="2845"/>
      <c r="E45" s="2846">
        <v>1</v>
      </c>
      <c r="F45" s="2843" t="s">
        <v>2481</v>
      </c>
      <c r="G45" s="2843"/>
    </row>
    <row r="46" spans="1:7" ht="19.5" customHeight="1">
      <c r="A46" s="3497"/>
      <c r="B46" s="3490"/>
      <c r="C46" s="2844" t="s">
        <v>2482</v>
      </c>
      <c r="D46" s="2845"/>
      <c r="E46" s="2846">
        <v>1</v>
      </c>
      <c r="F46" s="2843" t="s">
        <v>2483</v>
      </c>
      <c r="G46" s="2843"/>
    </row>
    <row r="47" spans="1:7" ht="19.5" customHeight="1">
      <c r="A47" s="3497"/>
      <c r="B47" s="3490"/>
      <c r="C47" s="2844" t="s">
        <v>2484</v>
      </c>
      <c r="D47" s="2845"/>
      <c r="E47" s="2846">
        <v>1</v>
      </c>
      <c r="F47" s="2843" t="s">
        <v>2485</v>
      </c>
      <c r="G47" s="2843"/>
    </row>
    <row r="48" spans="1:7" ht="19.5" customHeight="1">
      <c r="A48" s="3497"/>
      <c r="B48" s="3490"/>
      <c r="C48" s="2844" t="s">
        <v>2486</v>
      </c>
      <c r="D48" s="2845"/>
      <c r="E48" s="2846">
        <v>1</v>
      </c>
      <c r="F48" s="2843" t="s">
        <v>2487</v>
      </c>
      <c r="G48" s="2843"/>
    </row>
    <row r="49" spans="1:7" ht="19.5" customHeight="1">
      <c r="A49" s="3497"/>
      <c r="B49" s="3490"/>
      <c r="C49" s="2844" t="s">
        <v>2488</v>
      </c>
      <c r="D49" s="2845"/>
      <c r="E49" s="2846">
        <v>1</v>
      </c>
      <c r="F49" s="2843" t="s">
        <v>2489</v>
      </c>
      <c r="G49" s="2843"/>
    </row>
    <row r="50" spans="1:7" ht="19.5" customHeight="1">
      <c r="A50" s="3497"/>
      <c r="B50" s="3490"/>
      <c r="C50" s="2844" t="s">
        <v>2490</v>
      </c>
      <c r="D50" s="2845"/>
      <c r="E50" s="2846">
        <v>1</v>
      </c>
      <c r="F50" s="2843" t="s">
        <v>2491</v>
      </c>
      <c r="G50" s="2843"/>
    </row>
    <row r="51" spans="1:7" ht="19.5" customHeight="1" thickBot="1">
      <c r="A51" s="3498"/>
      <c r="B51" s="3492"/>
      <c r="C51" s="2847" t="s">
        <v>2492</v>
      </c>
      <c r="D51" s="2848"/>
      <c r="E51" s="2849">
        <v>1</v>
      </c>
      <c r="F51" s="2843" t="s">
        <v>2493</v>
      </c>
      <c r="G51" s="2843"/>
    </row>
    <row r="52" spans="1:7" ht="19.5" customHeight="1">
      <c r="A52" s="2856"/>
      <c r="B52" s="2856"/>
      <c r="C52" s="2856"/>
      <c r="D52" s="2856"/>
      <c r="E52" s="2856"/>
      <c r="F52" s="2856"/>
      <c r="G52" s="2856"/>
    </row>
    <row r="54" spans="1:7" ht="19.5" customHeight="1">
      <c r="A54" s="2857"/>
      <c r="B54" s="2829" t="s">
        <v>2632</v>
      </c>
      <c r="C54" s="2829" t="s">
        <v>2632</v>
      </c>
      <c r="D54" s="2829" t="s">
        <v>2632</v>
      </c>
      <c r="E54" s="2832" t="s">
        <v>2632</v>
      </c>
      <c r="F54" s="2832" t="s">
        <v>2633</v>
      </c>
      <c r="G54" s="2832" t="s">
        <v>2634</v>
      </c>
    </row>
    <row r="55" spans="1:7" ht="19.5" customHeight="1">
      <c r="A55" s="2858"/>
      <c r="B55" s="2832" t="s">
        <v>2601</v>
      </c>
      <c r="C55" s="2832" t="s">
        <v>2601</v>
      </c>
      <c r="D55" s="2832" t="s">
        <v>2601</v>
      </c>
      <c r="E55" s="2829" t="s">
        <v>2602</v>
      </c>
      <c r="F55" s="2829" t="s">
        <v>2604</v>
      </c>
      <c r="G55" s="2829" t="s">
        <v>2635</v>
      </c>
    </row>
    <row r="56" spans="1:7" ht="19.5" customHeight="1">
      <c r="A56" s="2859"/>
      <c r="B56" s="2829">
        <v>1</v>
      </c>
      <c r="C56" s="2829">
        <v>2</v>
      </c>
      <c r="D56" s="2829">
        <v>3</v>
      </c>
      <c r="E56" s="2860" t="s">
        <v>2636</v>
      </c>
      <c r="F56" s="2860" t="s">
        <v>2636</v>
      </c>
      <c r="G56" s="2860" t="s">
        <v>2636</v>
      </c>
    </row>
    <row r="57" spans="1:7" ht="19.5" customHeight="1">
      <c r="A57" s="2861" t="s">
        <v>2589</v>
      </c>
      <c r="B57" s="2829">
        <v>0.7</v>
      </c>
      <c r="C57" s="2829">
        <v>0.4</v>
      </c>
      <c r="D57" s="2829">
        <v>0.3</v>
      </c>
      <c r="E57" s="2860">
        <v>0.3</v>
      </c>
      <c r="F57" s="2829">
        <v>0.3</v>
      </c>
      <c r="G57" s="2829">
        <v>0.2</v>
      </c>
    </row>
    <row r="58" spans="1:7" ht="19.5" customHeight="1">
      <c r="A58" s="2861" t="s">
        <v>2590</v>
      </c>
      <c r="B58" s="2829">
        <v>0.7</v>
      </c>
      <c r="C58" s="2829">
        <v>0.4</v>
      </c>
      <c r="D58" s="2829">
        <v>0.3</v>
      </c>
      <c r="E58" s="2829">
        <v>0.3</v>
      </c>
      <c r="F58" s="2829">
        <v>0.3</v>
      </c>
      <c r="G58" s="2829">
        <v>0.2</v>
      </c>
    </row>
    <row r="59" spans="1:7" ht="19.5" customHeight="1">
      <c r="A59" s="2861" t="s">
        <v>2591</v>
      </c>
      <c r="B59" s="2829">
        <v>0.6</v>
      </c>
      <c r="C59" s="2829">
        <v>0.3</v>
      </c>
      <c r="D59" s="2829">
        <v>0.25</v>
      </c>
      <c r="E59" s="2829">
        <v>0.25</v>
      </c>
      <c r="F59" s="2829">
        <v>0.25</v>
      </c>
      <c r="G59" s="2829">
        <v>0.15</v>
      </c>
    </row>
    <row r="60" spans="1:7" ht="19.5" customHeight="1">
      <c r="A60" s="2861" t="s">
        <v>2592</v>
      </c>
      <c r="B60" s="2829">
        <v>0.6</v>
      </c>
      <c r="C60" s="2829">
        <v>0.3</v>
      </c>
      <c r="D60" s="2829">
        <v>0.25</v>
      </c>
      <c r="E60" s="2829">
        <v>0.25</v>
      </c>
      <c r="F60" s="2829">
        <v>0.25</v>
      </c>
      <c r="G60" s="2829">
        <v>0.15</v>
      </c>
    </row>
    <row r="61" spans="1:7" ht="19.5" customHeight="1">
      <c r="A61" s="2861" t="s">
        <v>2593</v>
      </c>
      <c r="B61" s="2829">
        <v>0.6</v>
      </c>
      <c r="C61" s="2829">
        <v>0.3</v>
      </c>
      <c r="D61" s="2829">
        <v>0.25</v>
      </c>
      <c r="E61" s="2829">
        <v>0.25</v>
      </c>
      <c r="F61" s="2829">
        <v>0.25</v>
      </c>
      <c r="G61" s="2829">
        <v>0.15</v>
      </c>
    </row>
    <row r="62" spans="1:7" ht="19.5" customHeight="1">
      <c r="A62" s="2861" t="s">
        <v>2594</v>
      </c>
      <c r="B62" s="2829">
        <v>0.6</v>
      </c>
      <c r="C62" s="2829">
        <v>0.3</v>
      </c>
      <c r="D62" s="2829">
        <v>0.25</v>
      </c>
      <c r="E62" s="2829">
        <v>0.25</v>
      </c>
      <c r="F62" s="2829">
        <v>0.25</v>
      </c>
      <c r="G62" s="2829">
        <v>0.15</v>
      </c>
    </row>
    <row r="63" spans="1:7" ht="19.5" customHeight="1">
      <c r="A63" s="2861" t="s">
        <v>2595</v>
      </c>
      <c r="B63" s="2829">
        <v>0.6</v>
      </c>
      <c r="C63" s="2829">
        <v>0.3</v>
      </c>
      <c r="D63" s="2829">
        <v>0.25</v>
      </c>
      <c r="E63" s="2829">
        <v>0.25</v>
      </c>
      <c r="F63" s="2829">
        <v>0.25</v>
      </c>
      <c r="G63" s="2829">
        <v>0.15</v>
      </c>
    </row>
    <row r="64" spans="1:7" ht="19.5" customHeight="1">
      <c r="A64" s="2861" t="s">
        <v>2596</v>
      </c>
      <c r="B64" s="2829">
        <v>0.5</v>
      </c>
      <c r="C64" s="2829">
        <v>0.2</v>
      </c>
      <c r="D64" s="2829">
        <v>0.2</v>
      </c>
      <c r="E64" s="2829">
        <v>0.2</v>
      </c>
      <c r="F64" s="2829">
        <v>0.2</v>
      </c>
      <c r="G64" s="2829">
        <v>0.1</v>
      </c>
    </row>
    <row r="65" spans="1:7" ht="19.5" customHeight="1">
      <c r="A65" s="2861" t="s">
        <v>2597</v>
      </c>
      <c r="B65" s="2829">
        <v>0.5</v>
      </c>
      <c r="C65" s="2829">
        <v>0.2</v>
      </c>
      <c r="D65" s="2829">
        <v>0.2</v>
      </c>
      <c r="E65" s="2829">
        <v>0.2</v>
      </c>
      <c r="F65" s="2829">
        <v>0.2</v>
      </c>
      <c r="G65" s="2829">
        <v>0.1</v>
      </c>
    </row>
    <row r="66" spans="1:7" ht="19.5" customHeight="1">
      <c r="A66" s="2861" t="s">
        <v>2598</v>
      </c>
      <c r="B66" s="2829">
        <v>0.5</v>
      </c>
      <c r="C66" s="2829">
        <v>0.2</v>
      </c>
      <c r="D66" s="2829">
        <v>0.2</v>
      </c>
      <c r="E66" s="2829">
        <v>0.2</v>
      </c>
      <c r="F66" s="2829">
        <v>0.2</v>
      </c>
      <c r="G66" s="2829">
        <v>0.1</v>
      </c>
    </row>
    <row r="67" spans="1:7" ht="19.5" customHeight="1">
      <c r="A67" s="2861" t="s">
        <v>2599</v>
      </c>
      <c r="B67" s="2829">
        <v>0.5</v>
      </c>
      <c r="C67" s="2829">
        <v>0.2</v>
      </c>
      <c r="D67" s="2829">
        <v>0.2</v>
      </c>
      <c r="E67" s="2829">
        <v>0.2</v>
      </c>
      <c r="F67" s="2829">
        <v>0.2</v>
      </c>
      <c r="G67" s="2829">
        <v>0.1</v>
      </c>
    </row>
    <row r="68" spans="1:7" ht="19.5" customHeight="1">
      <c r="A68" s="2861" t="s">
        <v>2600</v>
      </c>
      <c r="B68" s="2829">
        <v>0.5</v>
      </c>
      <c r="C68" s="2829">
        <v>0.2</v>
      </c>
      <c r="D68" s="2829">
        <v>0.2</v>
      </c>
      <c r="E68" s="2829">
        <v>0.2</v>
      </c>
      <c r="F68" s="2829">
        <v>0.2</v>
      </c>
      <c r="G68" s="2829">
        <v>0.1</v>
      </c>
    </row>
    <row r="70" spans="1:7" ht="19.5" customHeight="1">
      <c r="A70" s="2843"/>
      <c r="B70" s="2862"/>
      <c r="C70" s="2862"/>
      <c r="D70" s="2862" t="s">
        <v>2637</v>
      </c>
      <c r="E70" s="2862"/>
      <c r="F70" s="2862"/>
    </row>
    <row r="71" spans="1:7" ht="19.5" customHeight="1">
      <c r="A71" s="2855" t="s">
        <v>2638</v>
      </c>
      <c r="B71" s="2855" t="s">
        <v>2639</v>
      </c>
      <c r="C71" s="2855" t="s">
        <v>2640</v>
      </c>
      <c r="D71" s="2855" t="s">
        <v>2641</v>
      </c>
      <c r="E71" s="2855" t="s">
        <v>2642</v>
      </c>
      <c r="F71" s="2855" t="s">
        <v>2643</v>
      </c>
    </row>
    <row r="72" spans="1:7" ht="13.5">
      <c r="A72" s="2855"/>
      <c r="B72" s="2855"/>
      <c r="C72" s="2855" t="s">
        <v>2644</v>
      </c>
      <c r="D72" s="2855"/>
      <c r="E72" s="2855" t="s">
        <v>2615</v>
      </c>
      <c r="F72" s="2855" t="s">
        <v>2615</v>
      </c>
    </row>
    <row r="73" spans="1:7" ht="13.5">
      <c r="A73" s="2855">
        <v>1</v>
      </c>
      <c r="B73" s="3488" t="s">
        <v>2645</v>
      </c>
      <c r="C73" s="2829" t="s">
        <v>2646</v>
      </c>
      <c r="D73" s="2829" t="s">
        <v>2647</v>
      </c>
      <c r="E73" s="2855">
        <v>0.2</v>
      </c>
      <c r="F73" s="2855">
        <v>25</v>
      </c>
    </row>
    <row r="74" spans="1:7" ht="24">
      <c r="A74" s="2855">
        <v>2</v>
      </c>
      <c r="B74" s="3490"/>
      <c r="C74" s="2829" t="s">
        <v>2648</v>
      </c>
      <c r="D74" s="2829" t="s">
        <v>2649</v>
      </c>
      <c r="E74" s="2855">
        <v>0.2</v>
      </c>
      <c r="F74" s="2855">
        <v>25</v>
      </c>
    </row>
    <row r="75" spans="1:7" ht="24">
      <c r="A75" s="2855">
        <v>3</v>
      </c>
      <c r="B75" s="3490"/>
      <c r="C75" s="2829" t="s">
        <v>2650</v>
      </c>
      <c r="D75" s="2829" t="s">
        <v>2651</v>
      </c>
      <c r="E75" s="2855">
        <v>0.2</v>
      </c>
      <c r="F75" s="2855">
        <v>25</v>
      </c>
    </row>
    <row r="76" spans="1:7" ht="13.5">
      <c r="A76" s="2855">
        <v>4</v>
      </c>
      <c r="B76" s="3490"/>
      <c r="C76" s="2829" t="s">
        <v>2652</v>
      </c>
      <c r="D76" s="2829" t="s">
        <v>2653</v>
      </c>
      <c r="E76" s="2855">
        <v>0.15</v>
      </c>
      <c r="F76" s="2855">
        <v>20</v>
      </c>
    </row>
    <row r="77" spans="1:7" ht="24">
      <c r="A77" s="2855">
        <v>5</v>
      </c>
      <c r="B77" s="3490"/>
      <c r="C77" s="2829" t="s">
        <v>2654</v>
      </c>
      <c r="D77" s="2829" t="s">
        <v>2655</v>
      </c>
      <c r="E77" s="2855">
        <v>0.15</v>
      </c>
      <c r="F77" s="2855">
        <v>20</v>
      </c>
    </row>
    <row r="78" spans="1:7" ht="24">
      <c r="A78" s="2855">
        <v>6</v>
      </c>
      <c r="B78" s="3490"/>
      <c r="C78" s="2829" t="s">
        <v>2656</v>
      </c>
      <c r="D78" s="2829" t="s">
        <v>2657</v>
      </c>
      <c r="E78" s="2855">
        <v>0.15</v>
      </c>
      <c r="F78" s="2855">
        <v>20</v>
      </c>
    </row>
    <row r="79" spans="1:7" ht="24">
      <c r="A79" s="2855">
        <v>7</v>
      </c>
      <c r="B79" s="3490"/>
      <c r="C79" s="2829" t="s">
        <v>2658</v>
      </c>
      <c r="D79" s="2829" t="s">
        <v>2659</v>
      </c>
      <c r="E79" s="2855">
        <v>0.15</v>
      </c>
      <c r="F79" s="2855">
        <v>20</v>
      </c>
    </row>
    <row r="80" spans="1:7" ht="24">
      <c r="A80" s="2855">
        <v>8</v>
      </c>
      <c r="B80" s="3490"/>
      <c r="C80" s="2829" t="s">
        <v>2660</v>
      </c>
      <c r="D80" s="2829" t="s">
        <v>2661</v>
      </c>
      <c r="E80" s="2855">
        <v>0.1</v>
      </c>
      <c r="F80" s="2855">
        <v>15</v>
      </c>
    </row>
    <row r="81" spans="1:6" ht="24">
      <c r="A81" s="2855">
        <v>9</v>
      </c>
      <c r="B81" s="3490"/>
      <c r="C81" s="2829" t="s">
        <v>2662</v>
      </c>
      <c r="D81" s="2829" t="s">
        <v>2663</v>
      </c>
      <c r="E81" s="2855">
        <v>0.1</v>
      </c>
      <c r="F81" s="2855">
        <v>15</v>
      </c>
    </row>
    <row r="82" spans="1:6" ht="24">
      <c r="A82" s="2855">
        <v>10</v>
      </c>
      <c r="B82" s="3490"/>
      <c r="C82" s="2829" t="s">
        <v>2664</v>
      </c>
      <c r="D82" s="2829" t="s">
        <v>2665</v>
      </c>
      <c r="E82" s="2855">
        <v>0.1</v>
      </c>
      <c r="F82" s="2855">
        <v>15</v>
      </c>
    </row>
    <row r="83" spans="1:6" ht="24">
      <c r="A83" s="2855">
        <v>11</v>
      </c>
      <c r="B83" s="3490"/>
      <c r="C83" s="2829" t="s">
        <v>2666</v>
      </c>
      <c r="D83" s="2829" t="s">
        <v>2667</v>
      </c>
      <c r="E83" s="2855">
        <v>0.1</v>
      </c>
      <c r="F83" s="2855">
        <v>15</v>
      </c>
    </row>
    <row r="84" spans="1:6" ht="24">
      <c r="A84" s="2855">
        <v>12</v>
      </c>
      <c r="B84" s="3490"/>
      <c r="C84" s="2829" t="s">
        <v>2668</v>
      </c>
      <c r="D84" s="2829" t="s">
        <v>2669</v>
      </c>
      <c r="E84" s="2855">
        <v>0.1</v>
      </c>
      <c r="F84" s="2855">
        <v>15</v>
      </c>
    </row>
    <row r="85" spans="1:6" ht="13.5">
      <c r="A85" s="2855">
        <v>13</v>
      </c>
      <c r="B85" s="3490"/>
      <c r="C85" s="2829" t="s">
        <v>2670</v>
      </c>
      <c r="D85" s="2829" t="s">
        <v>2671</v>
      </c>
      <c r="E85" s="2855">
        <v>0.1</v>
      </c>
      <c r="F85" s="2855">
        <v>15</v>
      </c>
    </row>
    <row r="86" spans="1:6" ht="13.5">
      <c r="A86" s="2855">
        <v>14</v>
      </c>
      <c r="B86" s="3490"/>
      <c r="C86" s="2829" t="s">
        <v>2672</v>
      </c>
      <c r="D86" s="2829" t="s">
        <v>2673</v>
      </c>
      <c r="E86" s="2855">
        <v>0.1</v>
      </c>
      <c r="F86" s="2855">
        <v>15</v>
      </c>
    </row>
    <row r="87" spans="1:6" ht="13.5">
      <c r="A87" s="2855">
        <v>15</v>
      </c>
      <c r="B87" s="3490"/>
      <c r="C87" s="2829" t="s">
        <v>2674</v>
      </c>
      <c r="D87" s="2829" t="s">
        <v>2675</v>
      </c>
      <c r="E87" s="2855">
        <v>0.1</v>
      </c>
      <c r="F87" s="2855">
        <v>15</v>
      </c>
    </row>
    <row r="88" spans="1:6" ht="24">
      <c r="A88" s="2855">
        <v>16</v>
      </c>
      <c r="B88" s="3490"/>
      <c r="C88" s="2829" t="s">
        <v>2676</v>
      </c>
      <c r="D88" s="2829" t="s">
        <v>2677</v>
      </c>
      <c r="E88" s="2855">
        <v>0.1</v>
      </c>
      <c r="F88" s="2855">
        <v>15</v>
      </c>
    </row>
    <row r="89" spans="1:6" ht="24">
      <c r="A89" s="2855">
        <v>17</v>
      </c>
      <c r="B89" s="3489"/>
      <c r="C89" s="2829" t="s">
        <v>2678</v>
      </c>
      <c r="D89" s="2829" t="s">
        <v>2679</v>
      </c>
      <c r="E89" s="2855">
        <v>0.1</v>
      </c>
      <c r="F89" s="2855">
        <v>15</v>
      </c>
    </row>
    <row r="90" spans="1:6" ht="13.5">
      <c r="A90" s="2855">
        <v>18</v>
      </c>
      <c r="B90" s="3488" t="s">
        <v>2680</v>
      </c>
      <c r="C90" s="2829" t="s">
        <v>2681</v>
      </c>
      <c r="D90" s="2829" t="s">
        <v>2682</v>
      </c>
      <c r="E90" s="2855">
        <v>0.2</v>
      </c>
      <c r="F90" s="2855">
        <v>25</v>
      </c>
    </row>
    <row r="91" spans="1:6" ht="24">
      <c r="A91" s="2855">
        <v>19</v>
      </c>
      <c r="B91" s="3490"/>
      <c r="C91" s="2829" t="s">
        <v>2683</v>
      </c>
      <c r="D91" s="2829" t="s">
        <v>2684</v>
      </c>
      <c r="E91" s="2855">
        <v>0.2</v>
      </c>
      <c r="F91" s="2855">
        <v>25</v>
      </c>
    </row>
    <row r="92" spans="1:6" ht="13.5">
      <c r="A92" s="2855">
        <v>20</v>
      </c>
      <c r="B92" s="3490"/>
      <c r="C92" s="2829" t="s">
        <v>2685</v>
      </c>
      <c r="D92" s="2829" t="s">
        <v>2686</v>
      </c>
      <c r="E92" s="2855">
        <v>0.15</v>
      </c>
      <c r="F92" s="2855">
        <v>20</v>
      </c>
    </row>
    <row r="93" spans="1:6" ht="13.5">
      <c r="A93" s="2855">
        <v>21</v>
      </c>
      <c r="B93" s="3490"/>
      <c r="C93" s="2829" t="s">
        <v>2687</v>
      </c>
      <c r="D93" s="2829" t="s">
        <v>2688</v>
      </c>
      <c r="E93" s="2855">
        <v>0.15</v>
      </c>
      <c r="F93" s="2855">
        <v>20</v>
      </c>
    </row>
    <row r="94" spans="1:6" ht="13.5">
      <c r="A94" s="2855">
        <v>22</v>
      </c>
      <c r="B94" s="3490"/>
      <c r="C94" s="2829" t="s">
        <v>2689</v>
      </c>
      <c r="D94" s="2829" t="s">
        <v>2690</v>
      </c>
      <c r="E94" s="2855">
        <v>0.15</v>
      </c>
      <c r="F94" s="2855">
        <v>20</v>
      </c>
    </row>
    <row r="95" spans="1:6" ht="36">
      <c r="A95" s="2855">
        <v>23</v>
      </c>
      <c r="B95" s="3490"/>
      <c r="C95" s="2829" t="s">
        <v>2691</v>
      </c>
      <c r="D95" s="2829" t="s">
        <v>2692</v>
      </c>
      <c r="E95" s="2855">
        <v>0.15</v>
      </c>
      <c r="F95" s="2855">
        <v>20</v>
      </c>
    </row>
    <row r="96" spans="1:6" ht="13.5">
      <c r="A96" s="2855">
        <v>24</v>
      </c>
      <c r="B96" s="3490"/>
      <c r="C96" s="2829" t="s">
        <v>2693</v>
      </c>
      <c r="D96" s="2829" t="s">
        <v>2694</v>
      </c>
      <c r="E96" s="2855">
        <v>0.1</v>
      </c>
      <c r="F96" s="2855">
        <v>15</v>
      </c>
    </row>
    <row r="97" spans="1:6" ht="13.5">
      <c r="A97" s="2855">
        <v>25</v>
      </c>
      <c r="B97" s="3490"/>
      <c r="C97" s="2829" t="s">
        <v>2695</v>
      </c>
      <c r="D97" s="2829" t="s">
        <v>2696</v>
      </c>
      <c r="E97" s="2855">
        <v>0.1</v>
      </c>
      <c r="F97" s="2855">
        <v>15</v>
      </c>
    </row>
    <row r="98" spans="1:6" ht="24">
      <c r="A98" s="2855">
        <v>26</v>
      </c>
      <c r="B98" s="3490"/>
      <c r="C98" s="2829" t="s">
        <v>2697</v>
      </c>
      <c r="D98" s="2829" t="s">
        <v>2698</v>
      </c>
      <c r="E98" s="2855">
        <v>0.1</v>
      </c>
      <c r="F98" s="2855">
        <v>15</v>
      </c>
    </row>
    <row r="99" spans="1:6" ht="24">
      <c r="A99" s="2855">
        <v>27</v>
      </c>
      <c r="B99" s="3490"/>
      <c r="C99" s="2829" t="s">
        <v>2699</v>
      </c>
      <c r="D99" s="2829" t="s">
        <v>2700</v>
      </c>
      <c r="E99" s="2855">
        <v>0.1</v>
      </c>
      <c r="F99" s="2855">
        <v>15</v>
      </c>
    </row>
    <row r="100" spans="1:6" ht="13.5">
      <c r="A100" s="2855">
        <v>28</v>
      </c>
      <c r="B100" s="3490"/>
      <c r="C100" s="2829" t="s">
        <v>2701</v>
      </c>
      <c r="D100" s="2829" t="s">
        <v>2702</v>
      </c>
      <c r="E100" s="2855">
        <v>0.1</v>
      </c>
      <c r="F100" s="2855">
        <v>15</v>
      </c>
    </row>
    <row r="101" spans="1:6" ht="13.5">
      <c r="A101" s="2855">
        <v>29</v>
      </c>
      <c r="B101" s="3490"/>
      <c r="C101" s="2829" t="s">
        <v>2703</v>
      </c>
      <c r="D101" s="2829" t="s">
        <v>2704</v>
      </c>
      <c r="E101" s="2855">
        <v>0.1</v>
      </c>
      <c r="F101" s="2855">
        <v>15</v>
      </c>
    </row>
    <row r="102" spans="1:6" ht="13.5">
      <c r="A102" s="2855">
        <v>30</v>
      </c>
      <c r="B102" s="3490"/>
      <c r="C102" s="2829" t="s">
        <v>2705</v>
      </c>
      <c r="D102" s="2829" t="s">
        <v>2706</v>
      </c>
      <c r="E102" s="2855">
        <v>0.1</v>
      </c>
      <c r="F102" s="2855">
        <v>15</v>
      </c>
    </row>
    <row r="103" spans="1:6" ht="24">
      <c r="A103" s="2855">
        <v>31</v>
      </c>
      <c r="B103" s="3490"/>
      <c r="C103" s="2829" t="s">
        <v>2707</v>
      </c>
      <c r="D103" s="2829" t="s">
        <v>2708</v>
      </c>
      <c r="E103" s="2855">
        <v>0.1</v>
      </c>
      <c r="F103" s="2855">
        <v>15</v>
      </c>
    </row>
    <row r="104" spans="1:6" ht="24">
      <c r="A104" s="2855">
        <v>32</v>
      </c>
      <c r="B104" s="3490"/>
      <c r="C104" s="2829" t="s">
        <v>2709</v>
      </c>
      <c r="D104" s="2829" t="s">
        <v>2710</v>
      </c>
      <c r="E104" s="2855">
        <v>0.1</v>
      </c>
      <c r="F104" s="2855">
        <v>15</v>
      </c>
    </row>
    <row r="105" spans="1:6" ht="24">
      <c r="A105" s="2855">
        <v>33</v>
      </c>
      <c r="B105" s="3490"/>
      <c r="C105" s="2829" t="s">
        <v>2711</v>
      </c>
      <c r="D105" s="2829" t="s">
        <v>2712</v>
      </c>
      <c r="E105" s="2855">
        <v>0.1</v>
      </c>
      <c r="F105" s="2855">
        <v>15</v>
      </c>
    </row>
    <row r="106" spans="1:6" ht="24">
      <c r="A106" s="2855">
        <v>34</v>
      </c>
      <c r="B106" s="3489"/>
      <c r="C106" s="2829" t="s">
        <v>2713</v>
      </c>
      <c r="D106" s="2829" t="s">
        <v>2714</v>
      </c>
      <c r="E106" s="2855">
        <v>0.1</v>
      </c>
      <c r="F106" s="2855">
        <v>15</v>
      </c>
    </row>
    <row r="107" spans="1:6" ht="24">
      <c r="A107" s="2855">
        <v>35</v>
      </c>
      <c r="B107" s="3488" t="s">
        <v>2715</v>
      </c>
      <c r="C107" s="2855" t="s">
        <v>2716</v>
      </c>
      <c r="D107" s="2829" t="s">
        <v>2717</v>
      </c>
      <c r="E107" s="2855">
        <v>0.15</v>
      </c>
      <c r="F107" s="2855">
        <v>20</v>
      </c>
    </row>
    <row r="108" spans="1:6" ht="13.5">
      <c r="A108" s="2855">
        <v>36</v>
      </c>
      <c r="B108" s="3490"/>
      <c r="C108" s="2855" t="s">
        <v>2718</v>
      </c>
      <c r="D108" s="2829" t="s">
        <v>2719</v>
      </c>
      <c r="E108" s="2855">
        <v>0.15</v>
      </c>
      <c r="F108" s="2855">
        <v>20</v>
      </c>
    </row>
    <row r="109" spans="1:6" ht="13.5">
      <c r="A109" s="2855">
        <v>37</v>
      </c>
      <c r="B109" s="3490"/>
      <c r="C109" s="2855" t="s">
        <v>2720</v>
      </c>
      <c r="D109" s="2829" t="s">
        <v>2721</v>
      </c>
      <c r="E109" s="2855">
        <v>0.15</v>
      </c>
      <c r="F109" s="2855">
        <v>20</v>
      </c>
    </row>
    <row r="110" spans="1:6" ht="13.5">
      <c r="A110" s="2855">
        <v>38</v>
      </c>
      <c r="B110" s="3490"/>
      <c r="C110" s="2855" t="s">
        <v>2722</v>
      </c>
      <c r="D110" s="2829" t="s">
        <v>2723</v>
      </c>
      <c r="E110" s="2855">
        <v>0.1</v>
      </c>
      <c r="F110" s="2855">
        <v>15</v>
      </c>
    </row>
    <row r="111" spans="1:6" ht="24">
      <c r="A111" s="2855">
        <v>39</v>
      </c>
      <c r="B111" s="3490"/>
      <c r="C111" s="2855" t="s">
        <v>2724</v>
      </c>
      <c r="D111" s="2829" t="s">
        <v>2725</v>
      </c>
      <c r="E111" s="2855">
        <v>0.1</v>
      </c>
      <c r="F111" s="2855">
        <v>15</v>
      </c>
    </row>
    <row r="112" spans="1:6" ht="24">
      <c r="A112" s="2855">
        <v>40</v>
      </c>
      <c r="B112" s="3489"/>
      <c r="C112" s="2855" t="s">
        <v>2726</v>
      </c>
      <c r="D112" s="2829" t="s">
        <v>2727</v>
      </c>
      <c r="E112" s="2855">
        <v>0.1</v>
      </c>
      <c r="F112" s="2855">
        <v>15</v>
      </c>
    </row>
    <row r="113" spans="1:6" ht="13.5">
      <c r="A113" s="2855">
        <v>41</v>
      </c>
      <c r="B113" s="3487" t="s">
        <v>2728</v>
      </c>
      <c r="C113" s="2855" t="s">
        <v>2729</v>
      </c>
      <c r="D113" s="2829" t="s">
        <v>2730</v>
      </c>
      <c r="E113" s="2855">
        <v>0.1</v>
      </c>
      <c r="F113" s="2855">
        <v>15</v>
      </c>
    </row>
    <row r="114" spans="1:6" ht="13.5">
      <c r="A114" s="2855">
        <v>42</v>
      </c>
      <c r="B114" s="3487"/>
      <c r="C114" s="2855" t="s">
        <v>2731</v>
      </c>
      <c r="D114" s="2829" t="s">
        <v>2732</v>
      </c>
      <c r="E114" s="2855">
        <v>0.1</v>
      </c>
      <c r="F114" s="2855">
        <v>15</v>
      </c>
    </row>
    <row r="115" spans="1:6" ht="24">
      <c r="A115" s="2855">
        <v>43</v>
      </c>
      <c r="B115" s="3487"/>
      <c r="C115" s="2855" t="s">
        <v>2733</v>
      </c>
      <c r="D115" s="2829" t="s">
        <v>2734</v>
      </c>
      <c r="E115" s="2855">
        <v>0.1</v>
      </c>
      <c r="F115" s="2855">
        <v>15</v>
      </c>
    </row>
    <row r="116" spans="1:6" ht="13.5">
      <c r="A116" s="2855">
        <v>44</v>
      </c>
      <c r="B116" s="3488" t="s">
        <v>2735</v>
      </c>
      <c r="C116" s="2855" t="s">
        <v>2736</v>
      </c>
      <c r="D116" s="2829" t="s">
        <v>2737</v>
      </c>
      <c r="E116" s="2855">
        <v>0.1</v>
      </c>
      <c r="F116" s="2855">
        <v>15</v>
      </c>
    </row>
    <row r="117" spans="1:6" ht="24">
      <c r="A117" s="2855">
        <v>45</v>
      </c>
      <c r="B117" s="3489"/>
      <c r="C117" s="2829" t="s">
        <v>2738</v>
      </c>
      <c r="D117" s="2829" t="s">
        <v>2739</v>
      </c>
      <c r="E117" s="2855">
        <v>0.1</v>
      </c>
      <c r="F117" s="2855">
        <v>15</v>
      </c>
    </row>
    <row r="118" spans="1:6" ht="24">
      <c r="A118" s="2855">
        <v>46</v>
      </c>
      <c r="B118" s="3488" t="s">
        <v>2740</v>
      </c>
      <c r="C118" s="2855" t="s">
        <v>2741</v>
      </c>
      <c r="D118" s="2829" t="s">
        <v>2742</v>
      </c>
      <c r="E118" s="2855">
        <v>0.1</v>
      </c>
      <c r="F118" s="2855">
        <v>15</v>
      </c>
    </row>
    <row r="119" spans="1:6" ht="24">
      <c r="A119" s="2855">
        <v>47</v>
      </c>
      <c r="B119" s="3489"/>
      <c r="C119" s="2855" t="s">
        <v>2743</v>
      </c>
      <c r="D119" s="2829" t="s">
        <v>2744</v>
      </c>
      <c r="E119" s="2855">
        <v>0.1</v>
      </c>
      <c r="F119" s="2855">
        <v>15</v>
      </c>
    </row>
    <row r="120" spans="1:6" ht="13.5">
      <c r="A120" s="2855">
        <v>48</v>
      </c>
      <c r="B120" s="3488" t="s">
        <v>2745</v>
      </c>
      <c r="C120" s="2855" t="s">
        <v>2746</v>
      </c>
      <c r="D120" s="2829" t="s">
        <v>2747</v>
      </c>
      <c r="E120" s="2855">
        <v>0.1</v>
      </c>
      <c r="F120" s="2855">
        <v>15</v>
      </c>
    </row>
    <row r="121" spans="1:6" ht="13.5">
      <c r="A121" s="2855">
        <v>49</v>
      </c>
      <c r="B121" s="3489"/>
      <c r="C121" s="2855" t="s">
        <v>2748</v>
      </c>
      <c r="D121" s="2829" t="s">
        <v>2749</v>
      </c>
      <c r="E121" s="2855">
        <v>0.1</v>
      </c>
      <c r="F121" s="2855">
        <v>15</v>
      </c>
    </row>
    <row r="122" spans="1:6" ht="24">
      <c r="A122" s="2855">
        <v>50</v>
      </c>
      <c r="B122" s="3487" t="s">
        <v>2750</v>
      </c>
      <c r="C122" s="2855" t="s">
        <v>2751</v>
      </c>
      <c r="D122" s="2829" t="s">
        <v>2752</v>
      </c>
      <c r="E122" s="2855">
        <v>0.1</v>
      </c>
      <c r="F122" s="2855">
        <v>15</v>
      </c>
    </row>
    <row r="123" spans="1:6" ht="24">
      <c r="A123" s="2855">
        <v>51</v>
      </c>
      <c r="B123" s="3487"/>
      <c r="C123" s="2855" t="s">
        <v>2753</v>
      </c>
      <c r="D123" s="2829" t="s">
        <v>2754</v>
      </c>
      <c r="E123" s="2855">
        <v>0.1</v>
      </c>
      <c r="F123" s="2855">
        <v>15</v>
      </c>
    </row>
    <row r="124" spans="1:6" ht="24">
      <c r="A124" s="2855">
        <v>52</v>
      </c>
      <c r="B124" s="3487" t="s">
        <v>2755</v>
      </c>
      <c r="C124" s="2855" t="s">
        <v>2756</v>
      </c>
      <c r="D124" s="2829" t="s">
        <v>2757</v>
      </c>
      <c r="E124" s="2855">
        <v>0.1</v>
      </c>
      <c r="F124" s="2855">
        <v>15</v>
      </c>
    </row>
    <row r="125" spans="1:6" ht="24">
      <c r="A125" s="2855">
        <v>53</v>
      </c>
      <c r="B125" s="3487"/>
      <c r="C125" s="2855" t="s">
        <v>2758</v>
      </c>
      <c r="D125" s="2829" t="s">
        <v>2759</v>
      </c>
      <c r="E125" s="2855">
        <v>0.1</v>
      </c>
      <c r="F125" s="2855">
        <v>15</v>
      </c>
    </row>
    <row r="126" spans="1:6" ht="13.5">
      <c r="A126" s="2855">
        <v>54</v>
      </c>
      <c r="B126" s="2855" t="s">
        <v>2760</v>
      </c>
      <c r="C126" s="2855" t="s">
        <v>2761</v>
      </c>
      <c r="D126" s="2829" t="s">
        <v>2762</v>
      </c>
      <c r="E126" s="2855">
        <v>0.1</v>
      </c>
      <c r="F126" s="2855">
        <v>15</v>
      </c>
    </row>
    <row r="127" spans="1:6" ht="13.5">
      <c r="A127" s="2855">
        <v>55</v>
      </c>
      <c r="B127" s="3487" t="s">
        <v>2763</v>
      </c>
      <c r="C127" s="2855" t="s">
        <v>2764</v>
      </c>
      <c r="D127" s="2829" t="s">
        <v>2765</v>
      </c>
      <c r="E127" s="2855">
        <v>0.1</v>
      </c>
      <c r="F127" s="2855">
        <v>15</v>
      </c>
    </row>
    <row r="128" spans="1:6" ht="13.5">
      <c r="A128" s="2855">
        <v>56</v>
      </c>
      <c r="B128" s="3487"/>
      <c r="C128" s="2855" t="s">
        <v>2766</v>
      </c>
      <c r="D128" s="2829" t="s">
        <v>2767</v>
      </c>
      <c r="E128" s="2855">
        <v>0.1</v>
      </c>
      <c r="F128" s="2855">
        <v>15</v>
      </c>
    </row>
    <row r="129" spans="1:6" ht="24">
      <c r="A129" s="2855">
        <v>57</v>
      </c>
      <c r="B129" s="3487"/>
      <c r="C129" s="2855" t="s">
        <v>2768</v>
      </c>
      <c r="D129" s="2829" t="s">
        <v>2769</v>
      </c>
      <c r="E129" s="2855">
        <v>0.1</v>
      </c>
      <c r="F129" s="2855">
        <v>15</v>
      </c>
    </row>
    <row r="130" spans="1:6" ht="24">
      <c r="A130" s="2855">
        <v>58</v>
      </c>
      <c r="B130" s="3487" t="s">
        <v>2770</v>
      </c>
      <c r="C130" s="2855" t="s">
        <v>2771</v>
      </c>
      <c r="D130" s="2829" t="s">
        <v>2772</v>
      </c>
      <c r="E130" s="2855">
        <v>0.1</v>
      </c>
      <c r="F130" s="2855">
        <v>15</v>
      </c>
    </row>
    <row r="131" spans="1:6" ht="13.5">
      <c r="A131" s="2855">
        <v>59</v>
      </c>
      <c r="B131" s="3487"/>
      <c r="C131" s="2855" t="s">
        <v>2773</v>
      </c>
      <c r="D131" s="2829" t="s">
        <v>2774</v>
      </c>
      <c r="E131" s="2855">
        <v>0.1</v>
      </c>
      <c r="F131" s="2855">
        <v>15</v>
      </c>
    </row>
    <row r="132" spans="1:6" ht="13.5">
      <c r="A132" s="2855">
        <v>60</v>
      </c>
      <c r="B132" s="3488" t="s">
        <v>2775</v>
      </c>
      <c r="C132" s="2855" t="s">
        <v>2776</v>
      </c>
      <c r="D132" s="2829" t="s">
        <v>2777</v>
      </c>
      <c r="E132" s="2855">
        <v>0.1</v>
      </c>
      <c r="F132" s="2855">
        <v>15</v>
      </c>
    </row>
    <row r="133" spans="1:6" ht="13.5">
      <c r="A133" s="2855">
        <v>61</v>
      </c>
      <c r="B133" s="3489"/>
      <c r="C133" s="2855" t="s">
        <v>2778</v>
      </c>
      <c r="D133" s="2829" t="s">
        <v>2779</v>
      </c>
      <c r="E133" s="2855">
        <v>0.1</v>
      </c>
      <c r="F133" s="2855">
        <v>15</v>
      </c>
    </row>
    <row r="134" spans="1:6" ht="24">
      <c r="A134" s="2855">
        <v>62</v>
      </c>
      <c r="B134" s="2855" t="s">
        <v>2780</v>
      </c>
      <c r="C134" s="2855" t="s">
        <v>2781</v>
      </c>
      <c r="D134" s="2829" t="s">
        <v>2782</v>
      </c>
      <c r="E134" s="2855">
        <v>0.1</v>
      </c>
      <c r="F134" s="2855">
        <v>15</v>
      </c>
    </row>
    <row r="135" spans="1:6" ht="13.5">
      <c r="A135" s="2855">
        <v>63</v>
      </c>
      <c r="B135" s="3487" t="s">
        <v>2783</v>
      </c>
      <c r="C135" s="2855" t="s">
        <v>2784</v>
      </c>
      <c r="D135" s="2829" t="s">
        <v>2785</v>
      </c>
      <c r="E135" s="2855">
        <v>0.1</v>
      </c>
      <c r="F135" s="2855">
        <v>15</v>
      </c>
    </row>
    <row r="136" spans="1:6" ht="13.5">
      <c r="A136" s="2855">
        <v>64</v>
      </c>
      <c r="B136" s="3487"/>
      <c r="C136" s="2855" t="s">
        <v>2786</v>
      </c>
      <c r="D136" s="2829" t="s">
        <v>2787</v>
      </c>
      <c r="E136" s="2855">
        <v>0.1</v>
      </c>
      <c r="F136" s="2855">
        <v>15</v>
      </c>
    </row>
    <row r="137" spans="1:6" ht="13.5">
      <c r="A137" s="2855">
        <v>65</v>
      </c>
      <c r="B137" s="2855" t="s">
        <v>2788</v>
      </c>
      <c r="C137" s="2855" t="s">
        <v>2789</v>
      </c>
      <c r="D137" s="2829" t="s">
        <v>2790</v>
      </c>
      <c r="E137" s="2855">
        <v>0.1</v>
      </c>
      <c r="F137" s="2855">
        <v>15</v>
      </c>
    </row>
    <row r="138" spans="1:6" ht="13.5">
      <c r="A138" s="2855"/>
      <c r="B138" s="2855"/>
      <c r="C138" s="2855"/>
      <c r="D138" s="2855"/>
      <c r="E138" s="2855" t="s">
        <v>2791</v>
      </c>
      <c r="F138" s="285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2792</v>
      </c>
      <c r="B1" s="2863"/>
      <c r="C1" s="2863"/>
      <c r="D1" s="2863"/>
      <c r="E1" s="2863"/>
      <c r="F1" s="2863"/>
      <c r="G1" s="2863"/>
      <c r="H1" s="2863"/>
      <c r="I1" s="2863"/>
      <c r="J1" s="2863"/>
      <c r="K1" s="2863"/>
      <c r="L1" s="2863"/>
      <c r="M1" s="2863"/>
      <c r="N1" s="707"/>
    </row>
    <row r="2" spans="1:20">
      <c r="A2" s="2864" t="s">
        <v>2793</v>
      </c>
      <c r="B2" s="2865" t="s">
        <v>2589</v>
      </c>
      <c r="C2" s="2865" t="s">
        <v>2590</v>
      </c>
      <c r="D2" s="2865" t="s">
        <v>2591</v>
      </c>
      <c r="E2" s="2865" t="s">
        <v>2592</v>
      </c>
      <c r="F2" s="2865" t="s">
        <v>2593</v>
      </c>
      <c r="G2" s="2865" t="s">
        <v>2594</v>
      </c>
      <c r="H2" s="2866" t="s">
        <v>2595</v>
      </c>
      <c r="I2" s="2866" t="s">
        <v>2596</v>
      </c>
      <c r="J2" s="2867" t="s">
        <v>2597</v>
      </c>
      <c r="K2" s="2867" t="s">
        <v>2598</v>
      </c>
      <c r="L2" s="2867" t="s">
        <v>2599</v>
      </c>
      <c r="M2" s="2868" t="s">
        <v>2600</v>
      </c>
      <c r="Q2" s="2878" t="s">
        <v>2798</v>
      </c>
      <c r="R2" s="2878" t="s">
        <v>2799</v>
      </c>
      <c r="S2" s="2878" t="s">
        <v>2800</v>
      </c>
      <c r="T2" s="2878" t="s">
        <v>2801</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2794</v>
      </c>
      <c r="B93" s="2863"/>
      <c r="C93" s="2863"/>
      <c r="D93" s="2863"/>
      <c r="E93" s="2863"/>
      <c r="F93" s="2863"/>
      <c r="G93" s="2863"/>
      <c r="H93" s="2863"/>
      <c r="I93" s="2863"/>
      <c r="J93" s="2863"/>
      <c r="K93" s="2863"/>
      <c r="L93" s="2863"/>
      <c r="M93" s="2863"/>
    </row>
    <row r="94" spans="1:20">
      <c r="A94" s="2864" t="s">
        <v>2793</v>
      </c>
      <c r="B94" s="2865" t="s">
        <v>2589</v>
      </c>
      <c r="C94" s="2865" t="s">
        <v>2590</v>
      </c>
      <c r="D94" s="2865" t="s">
        <v>2591</v>
      </c>
      <c r="E94" s="2865" t="s">
        <v>2592</v>
      </c>
      <c r="F94" s="2865" t="s">
        <v>2593</v>
      </c>
      <c r="G94" s="2865" t="s">
        <v>2594</v>
      </c>
      <c r="H94" s="2866" t="s">
        <v>2595</v>
      </c>
      <c r="I94" s="2866" t="s">
        <v>2596</v>
      </c>
      <c r="J94" s="2867" t="s">
        <v>2597</v>
      </c>
      <c r="K94" s="2867" t="s">
        <v>2598</v>
      </c>
      <c r="L94" s="2867" t="s">
        <v>2599</v>
      </c>
      <c r="M94" s="2868" t="s">
        <v>2600</v>
      </c>
      <c r="N94">
        <f>SUMPRODUCT((A95:A184=ROUNDDOWN(基准地价修正!G3,1))*(B94:M94=基准地价修正!G2)*(B95:M184))</f>
        <v>0</v>
      </c>
      <c r="Q94" s="2878" t="s">
        <v>2798</v>
      </c>
      <c r="R94" s="2878" t="s">
        <v>2799</v>
      </c>
      <c r="S94" s="2878" t="s">
        <v>2800</v>
      </c>
      <c r="T94" s="2878" t="s">
        <v>2801</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2795</v>
      </c>
      <c r="B185" s="2863"/>
      <c r="C185" s="2863"/>
      <c r="D185" s="2863"/>
      <c r="E185" s="2863"/>
      <c r="F185" s="2863"/>
      <c r="G185" s="2863"/>
      <c r="H185" s="2863"/>
      <c r="I185" s="2863"/>
      <c r="J185" s="2863"/>
      <c r="K185" s="2863"/>
      <c r="L185" s="2863"/>
      <c r="M185" s="2863"/>
    </row>
    <row r="186" spans="1:20">
      <c r="A186" s="2864" t="s">
        <v>2793</v>
      </c>
      <c r="B186" s="2865" t="s">
        <v>2589</v>
      </c>
      <c r="C186" s="2865" t="s">
        <v>2590</v>
      </c>
      <c r="D186" s="2865" t="s">
        <v>2591</v>
      </c>
      <c r="E186" s="2865" t="s">
        <v>2592</v>
      </c>
      <c r="F186" s="2865" t="s">
        <v>2593</v>
      </c>
      <c r="G186" s="2865" t="s">
        <v>2594</v>
      </c>
      <c r="H186" s="2866" t="s">
        <v>2595</v>
      </c>
      <c r="I186" s="2866" t="s">
        <v>2596</v>
      </c>
      <c r="J186" s="2867" t="s">
        <v>2597</v>
      </c>
      <c r="K186" s="2867" t="s">
        <v>2598</v>
      </c>
      <c r="L186" s="2867" t="s">
        <v>2599</v>
      </c>
      <c r="M186" s="2868" t="s">
        <v>2600</v>
      </c>
      <c r="Q186" s="2878" t="s">
        <v>2798</v>
      </c>
      <c r="R186" s="2878" t="s">
        <v>2799</v>
      </c>
      <c r="S186" s="2878" t="s">
        <v>2800</v>
      </c>
      <c r="T186" s="2878" t="s">
        <v>2801</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2796</v>
      </c>
      <c r="B277" s="2863"/>
      <c r="C277" s="2863"/>
      <c r="D277" s="2863"/>
      <c r="E277" s="2863"/>
      <c r="F277" s="2863"/>
      <c r="G277" s="2863"/>
      <c r="H277" s="2863"/>
      <c r="I277" s="2863"/>
      <c r="J277" s="2863"/>
      <c r="K277" s="2863"/>
      <c r="L277" s="2863"/>
      <c r="M277" s="2863"/>
    </row>
    <row r="278" spans="1:21">
      <c r="A278" s="2864" t="s">
        <v>2793</v>
      </c>
      <c r="B278" s="2865" t="s">
        <v>2589</v>
      </c>
      <c r="C278" s="2865" t="s">
        <v>2590</v>
      </c>
      <c r="D278" s="2865" t="s">
        <v>2591</v>
      </c>
      <c r="E278" s="2865" t="s">
        <v>2592</v>
      </c>
      <c r="F278" s="2865" t="s">
        <v>2593</v>
      </c>
      <c r="G278" s="2865" t="s">
        <v>2594</v>
      </c>
      <c r="H278" s="2866" t="s">
        <v>2595</v>
      </c>
      <c r="I278" s="2866" t="s">
        <v>2596</v>
      </c>
      <c r="J278" s="2867" t="s">
        <v>2597</v>
      </c>
      <c r="K278" s="2867" t="s">
        <v>2598</v>
      </c>
      <c r="L278" s="2867" t="s">
        <v>2599</v>
      </c>
      <c r="M278" s="2868" t="s">
        <v>2600</v>
      </c>
      <c r="Q278" s="2878" t="s">
        <v>2798</v>
      </c>
      <c r="R278" s="2878" t="s">
        <v>2799</v>
      </c>
      <c r="S278" s="2878" t="s">
        <v>2802</v>
      </c>
      <c r="T278" s="2878" t="s">
        <v>2803</v>
      </c>
      <c r="U278" s="2878" t="s">
        <v>2801</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2797</v>
      </c>
      <c r="B369" s="2876"/>
      <c r="C369" s="2876"/>
      <c r="D369" s="2876"/>
      <c r="E369" s="2876"/>
      <c r="F369" s="2876"/>
      <c r="G369" s="2876"/>
      <c r="H369" s="2876"/>
      <c r="I369" s="2876"/>
      <c r="J369" s="2876"/>
      <c r="K369" s="2876"/>
      <c r="L369" s="2876"/>
      <c r="M369" s="2876"/>
    </row>
    <row r="370" spans="1:20">
      <c r="A370" s="2864" t="s">
        <v>2793</v>
      </c>
      <c r="B370" s="2865" t="s">
        <v>2589</v>
      </c>
      <c r="C370" s="2865" t="s">
        <v>2590</v>
      </c>
      <c r="D370" s="2865" t="s">
        <v>2591</v>
      </c>
      <c r="E370" s="2865" t="s">
        <v>2592</v>
      </c>
      <c r="F370" s="2865" t="s">
        <v>2593</v>
      </c>
      <c r="G370" s="2865" t="s">
        <v>2594</v>
      </c>
      <c r="H370" s="2866" t="s">
        <v>2595</v>
      </c>
      <c r="I370" s="2866" t="s">
        <v>2596</v>
      </c>
      <c r="J370" s="2867" t="s">
        <v>2597</v>
      </c>
      <c r="K370" s="2867" t="s">
        <v>2598</v>
      </c>
      <c r="L370" s="2867" t="s">
        <v>2599</v>
      </c>
      <c r="M370" s="2868" t="s">
        <v>2600</v>
      </c>
      <c r="N370">
        <f>SUMPRODUCT((A371:A460=ROUNDDOWN(基准地价修正!G3,1))*(B370:M370=基准地价修正!G2)*(B371:M460))</f>
        <v>0</v>
      </c>
      <c r="Q370" s="2878" t="s">
        <v>2798</v>
      </c>
      <c r="R370" s="2878" t="s">
        <v>2799</v>
      </c>
      <c r="S370" s="2878" t="s">
        <v>2800</v>
      </c>
      <c r="T370" s="2878" t="s">
        <v>2801</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86158</v>
      </c>
      <c r="C2" s="2" t="s">
        <v>106</v>
      </c>
      <c r="D2" s="191"/>
      <c r="E2" s="191"/>
      <c r="F2" s="191"/>
      <c r="G2" s="191"/>
    </row>
    <row r="3" spans="1:7" s="192" customFormat="1" ht="18" customHeight="1" thickBot="1">
      <c r="A3" s="195" t="s">
        <v>58</v>
      </c>
      <c r="B3" s="196">
        <f ca="1">ROUND(B2*10000/'数据-汇总表'!E3,0)</f>
        <v>6178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1706</v>
      </c>
      <c r="D9" s="795">
        <f>'数据-汇总表'!E5</f>
        <v>106641.76</v>
      </c>
      <c r="E9" s="217">
        <f>'数据-取费表'!B27</f>
        <v>160</v>
      </c>
      <c r="F9" s="213"/>
      <c r="G9" s="218"/>
    </row>
    <row r="10" spans="1:7" s="206" customFormat="1" ht="13.5" customHeight="1">
      <c r="A10" s="733" t="s">
        <v>356</v>
      </c>
      <c r="B10" s="216" t="s">
        <v>67</v>
      </c>
      <c r="C10" s="217">
        <f>ROUND(D10*E10/10000,0)</f>
        <v>657</v>
      </c>
      <c r="D10" s="795">
        <f>'数据-汇总表'!E6</f>
        <v>32826.210000000006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2789</v>
      </c>
      <c r="D19" s="204">
        <f>'数据-汇总表'!E3</f>
        <v>139467.97</v>
      </c>
      <c r="E19" s="203">
        <f>'数据-取费表'!B31</f>
        <v>200</v>
      </c>
      <c r="F19" s="223"/>
      <c r="G19" s="1" t="s">
        <v>436</v>
      </c>
    </row>
    <row r="20" spans="1:7" s="206" customFormat="1" ht="13.5" customHeight="1">
      <c r="A20" s="731" t="s">
        <v>419</v>
      </c>
      <c r="B20" s="202" t="s">
        <v>77</v>
      </c>
      <c r="C20" s="224">
        <f>ROUND((C5+C19)*F20,0)</f>
        <v>468</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1184</v>
      </c>
      <c r="D22" s="227">
        <f ca="1">C26</f>
        <v>6.9999999999999999E-4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3055</v>
      </c>
      <c r="D27" s="227">
        <f>C29</f>
        <v>3.8E-3</v>
      </c>
      <c r="E27" s="228" t="s">
        <v>99</v>
      </c>
      <c r="F27" s="238">
        <f>'数据-取费表'!Q16</f>
        <v>0.16</v>
      </c>
      <c r="G27" s="239" t="s">
        <v>431</v>
      </c>
    </row>
    <row r="28" spans="1:7" s="206" customFormat="1" ht="13.5" customHeight="1">
      <c r="A28" s="734" t="s">
        <v>349</v>
      </c>
      <c r="B28" s="240" t="s">
        <v>424</v>
      </c>
      <c r="C28" s="241">
        <f>ROUND((C5+C19+C20)*F27*'数据-取费表'!B21/'数据-取费表'!B20,0)</f>
        <v>3055</v>
      </c>
      <c r="D28" s="227"/>
      <c r="E28" s="228"/>
      <c r="F28" s="238"/>
      <c r="G28" s="239"/>
    </row>
    <row r="29" spans="1:7" s="206" customFormat="1" ht="13.5" customHeight="1">
      <c r="A29" s="734" t="s">
        <v>347</v>
      </c>
      <c r="B29" s="240" t="s">
        <v>425</v>
      </c>
      <c r="C29" s="230">
        <f>ROUND(C21*F27*'数据-取费表'!B21/'数据-取费表'!B20,4)</f>
        <v>3.8E-3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30780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41799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35704</v>
      </c>
      <c r="D34" s="209"/>
      <c r="E34" s="212"/>
      <c r="F34" s="249">
        <f>IF('数据-取费表'!B24=0,1,'数据-取费表'!N16)</f>
        <v>0.8</v>
      </c>
      <c r="G34" s="211" t="s">
        <v>89</v>
      </c>
    </row>
    <row r="35" spans="1:7" ht="13.5" customHeight="1">
      <c r="A35" s="734" t="s">
        <v>351</v>
      </c>
      <c r="B35" s="207" t="s">
        <v>33</v>
      </c>
      <c r="C35" s="212">
        <f>ROUND(C34*F35,0)</f>
        <v>1785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1365</v>
      </c>
      <c r="D36" s="212"/>
      <c r="E36" s="212"/>
      <c r="F36" s="251">
        <f>'数据-取费表'!B34</f>
        <v>0.05</v>
      </c>
      <c r="G36" s="252" t="s">
        <v>35</v>
      </c>
    </row>
    <row r="37" spans="1:7" s="250" customFormat="1" ht="13.5" customHeight="1">
      <c r="A37" s="734" t="s">
        <v>353</v>
      </c>
      <c r="B37" s="207" t="s">
        <v>91</v>
      </c>
      <c r="C37" s="241">
        <f>ROUND(E37*D37*F34/10000,0)</f>
        <v>2231</v>
      </c>
      <c r="D37" s="209">
        <f>'数据-汇总表'!E3</f>
        <v>139467.97</v>
      </c>
      <c r="E37" s="241">
        <f>'数据-取费表'!B35</f>
        <v>200</v>
      </c>
      <c r="F37" s="251"/>
      <c r="G37" s="253" t="s">
        <v>92</v>
      </c>
    </row>
    <row r="38" spans="1:7" ht="13.5" customHeight="1">
      <c r="A38" s="734" t="s">
        <v>354</v>
      </c>
      <c r="B38" s="207" t="s">
        <v>36</v>
      </c>
      <c r="C38" s="212">
        <f>ROUND(C34*F38,0)</f>
        <v>714</v>
      </c>
      <c r="D38" s="212"/>
      <c r="E38" s="212"/>
      <c r="F38" s="251">
        <f>'数据-取费表'!B36</f>
        <v>0.02</v>
      </c>
      <c r="G38" s="211" t="s">
        <v>90</v>
      </c>
    </row>
    <row r="39" spans="1:7" s="206" customFormat="1" ht="13.5" customHeight="1">
      <c r="A39" s="731" t="s">
        <v>338</v>
      </c>
      <c r="B39" s="202" t="s">
        <v>77</v>
      </c>
      <c r="C39" s="224">
        <f>ROUND(C33*F20,0)</f>
        <v>836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1054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1033</v>
      </c>
      <c r="D42" s="230"/>
      <c r="E42" s="230"/>
      <c r="F42" s="231"/>
      <c r="G42" s="3404" t="s">
        <v>94</v>
      </c>
    </row>
    <row r="43" spans="1:7" ht="13.5" customHeight="1">
      <c r="A43" s="734" t="s">
        <v>347</v>
      </c>
      <c r="B43" s="207" t="s">
        <v>426</v>
      </c>
      <c r="C43" s="230">
        <f ca="1">ROUND(IF('数据-取费表'!B22&lt;=1,C39*F22*'数据-取费表'!B21/2,C39*(POWER((1+F22),'数据-取费表'!B21/2)-1)),0)</f>
        <v>21</v>
      </c>
      <c r="D43" s="230"/>
      <c r="E43" s="230"/>
      <c r="F43" s="231"/>
      <c r="G43" s="3405"/>
    </row>
    <row r="44" spans="1:7" ht="13.5" customHeight="1">
      <c r="A44" s="734" t="s">
        <v>348</v>
      </c>
      <c r="B44" s="207" t="s">
        <v>428</v>
      </c>
      <c r="C44" s="230">
        <f ca="1">ROUND(IF('数据-取费表'!B22&lt;=1,C40*F22*'数据-取费表'!B21/2,C40*(POWER((1+F22),'数据-取费表'!B21/2)-1)),4)</f>
        <v>6.9999999999999999E-4</v>
      </c>
      <c r="D44" s="230"/>
      <c r="E44" s="230"/>
      <c r="F44" s="231"/>
      <c r="G44" s="3406"/>
    </row>
    <row r="45" spans="1:7" s="206" customFormat="1" ht="13.5" customHeight="1">
      <c r="A45" s="731" t="s">
        <v>341</v>
      </c>
      <c r="B45" s="236" t="s">
        <v>85</v>
      </c>
      <c r="C45" s="237">
        <f>C46</f>
        <v>6822</v>
      </c>
      <c r="D45" s="227">
        <f>C47</f>
        <v>4.7999999999999996E-3</v>
      </c>
      <c r="E45" s="228" t="s">
        <v>102</v>
      </c>
      <c r="F45" s="238"/>
      <c r="G45" s="239" t="s">
        <v>434</v>
      </c>
    </row>
    <row r="46" spans="1:7" s="206" customFormat="1" ht="13.5" customHeight="1">
      <c r="A46" s="734" t="s">
        <v>349</v>
      </c>
      <c r="B46" s="240" t="s">
        <v>427</v>
      </c>
      <c r="C46" s="241">
        <f>ROUND((C33+C39)*F27,0)</f>
        <v>6822</v>
      </c>
      <c r="D46" s="255"/>
      <c r="E46" s="228"/>
      <c r="F46" s="238"/>
      <c r="G46" s="239"/>
    </row>
    <row r="47" spans="1:7" s="206" customFormat="1" ht="13.5" customHeight="1">
      <c r="A47" s="734" t="s">
        <v>347</v>
      </c>
      <c r="B47" s="240" t="s">
        <v>429</v>
      </c>
      <c r="C47" s="230">
        <f>ROUND(C40*F27,4)</f>
        <v>4.7999999999999996E-3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55378</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55378</v>
      </c>
      <c r="D51" s="224"/>
      <c r="E51" s="224"/>
      <c r="F51" s="256"/>
      <c r="G51" s="226" t="s">
        <v>37</v>
      </c>
    </row>
    <row r="52" spans="1:7" s="200" customFormat="1" ht="16.5" thickBot="1">
      <c r="A52" s="257" t="s">
        <v>38</v>
      </c>
      <c r="B52" s="258"/>
      <c r="C52" s="259">
        <f ca="1">C31+C51</f>
        <v>86158</v>
      </c>
      <c r="D52" s="258"/>
      <c r="E52" s="258"/>
      <c r="F52" s="258"/>
      <c r="G52" s="260"/>
    </row>
    <row r="55" spans="1:7" ht="15">
      <c r="B55" s="262" t="s">
        <v>39</v>
      </c>
      <c r="C55" s="263"/>
    </row>
    <row r="56" spans="1:7">
      <c r="B56" s="265" t="s">
        <v>40</v>
      </c>
      <c r="C56" s="266">
        <f ca="1">ROUND(C51/C52,3)</f>
        <v>0.64300000000000002</v>
      </c>
    </row>
    <row r="57" spans="1:7">
      <c r="B57" s="265" t="s">
        <v>41</v>
      </c>
      <c r="C57" s="267">
        <f ca="1">1-C56</f>
        <v>0.35699999999999998</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20" sqref="F20:G20"/>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1" t="s">
        <v>2833</v>
      </c>
      <c r="B1" s="3501"/>
      <c r="C1" s="3501"/>
      <c r="D1" s="3501"/>
      <c r="E1" s="3501"/>
      <c r="F1" s="3501"/>
      <c r="G1" s="3502"/>
      <c r="I1" s="2936" t="s">
        <v>2834</v>
      </c>
      <c r="J1" s="2937" t="s">
        <v>2835</v>
      </c>
      <c r="K1" s="2937" t="s">
        <v>2836</v>
      </c>
      <c r="L1" s="2937" t="s">
        <v>2837</v>
      </c>
      <c r="M1" s="2937" t="s">
        <v>2838</v>
      </c>
      <c r="N1" s="2937" t="s">
        <v>2839</v>
      </c>
      <c r="O1" s="2937" t="s">
        <v>2840</v>
      </c>
      <c r="P1" s="2937" t="s">
        <v>2841</v>
      </c>
      <c r="Q1" s="2937" t="s">
        <v>2842</v>
      </c>
      <c r="R1" s="2937" t="s">
        <v>2843</v>
      </c>
      <c r="S1" s="2937" t="s">
        <v>2844</v>
      </c>
      <c r="T1" s="2938" t="s">
        <v>2845</v>
      </c>
    </row>
    <row r="2" spans="1:20" ht="12" thickBot="1">
      <c r="A2" s="2939" t="s">
        <v>2846</v>
      </c>
      <c r="B2" s="2939"/>
      <c r="C2" s="2939"/>
      <c r="D2" s="2939"/>
      <c r="E2" s="2939"/>
      <c r="F2" s="2939"/>
      <c r="G2" s="2940" t="s">
        <v>2847</v>
      </c>
      <c r="I2" s="2941" t="s">
        <v>2848</v>
      </c>
      <c r="J2" s="2941" t="s">
        <v>2849</v>
      </c>
      <c r="K2" s="2941" t="s">
        <v>2850</v>
      </c>
      <c r="L2" s="2941" t="s">
        <v>2851</v>
      </c>
      <c r="M2" s="2941" t="s">
        <v>2852</v>
      </c>
      <c r="N2" s="2941" t="s">
        <v>2853</v>
      </c>
      <c r="O2" s="2941" t="s">
        <v>2854</v>
      </c>
      <c r="P2" s="2941" t="s">
        <v>2855</v>
      </c>
      <c r="Q2" s="2941" t="s">
        <v>2856</v>
      </c>
      <c r="R2" s="2941" t="s">
        <v>2857</v>
      </c>
      <c r="S2" s="2941" t="s">
        <v>2858</v>
      </c>
      <c r="T2" s="2941" t="s">
        <v>2859</v>
      </c>
    </row>
    <row r="3" spans="1:20" s="2947" customFormat="1">
      <c r="A3" s="3499" t="s">
        <v>2860</v>
      </c>
      <c r="B3" s="2942"/>
      <c r="C3" s="2943" t="s">
        <v>2805</v>
      </c>
      <c r="D3" s="2943" t="s">
        <v>2861</v>
      </c>
      <c r="E3" s="2943" t="s">
        <v>2807</v>
      </c>
      <c r="F3" s="2943" t="s">
        <v>2862</v>
      </c>
      <c r="G3" s="2943" t="s">
        <v>2625</v>
      </c>
      <c r="H3" s="2944"/>
      <c r="I3" s="2945" t="s">
        <v>2863</v>
      </c>
      <c r="J3" s="2946" t="s">
        <v>128</v>
      </c>
      <c r="K3" s="2946" t="s">
        <v>129</v>
      </c>
      <c r="L3" s="2945" t="s">
        <v>130</v>
      </c>
      <c r="M3" s="2945" t="s">
        <v>131</v>
      </c>
      <c r="N3" s="2945" t="s">
        <v>132</v>
      </c>
      <c r="O3" s="2945" t="s">
        <v>133</v>
      </c>
      <c r="P3" s="2945" t="s">
        <v>134</v>
      </c>
      <c r="Q3" s="2945" t="s">
        <v>135</v>
      </c>
      <c r="R3" s="2945" t="s">
        <v>136</v>
      </c>
      <c r="S3" s="2945" t="s">
        <v>2864</v>
      </c>
      <c r="T3" s="2945" t="s">
        <v>2865</v>
      </c>
    </row>
    <row r="4" spans="1:20" s="2947" customFormat="1" ht="12" thickBot="1">
      <c r="A4" s="3500"/>
      <c r="B4" s="2948" t="s">
        <v>2866</v>
      </c>
      <c r="C4" s="2948" t="s">
        <v>2867</v>
      </c>
      <c r="D4" s="2948" t="s">
        <v>2867</v>
      </c>
      <c r="E4" s="2948" t="s">
        <v>2867</v>
      </c>
      <c r="F4" s="2949" t="s">
        <v>2867</v>
      </c>
      <c r="G4" s="2949" t="s">
        <v>2867</v>
      </c>
      <c r="H4" s="2944"/>
      <c r="I4" s="2946" t="s">
        <v>137</v>
      </c>
      <c r="J4" s="2946" t="s">
        <v>111</v>
      </c>
      <c r="K4" s="2946" t="s">
        <v>138</v>
      </c>
      <c r="L4" s="2945" t="s">
        <v>139</v>
      </c>
      <c r="M4" s="2945" t="s">
        <v>140</v>
      </c>
      <c r="N4" s="2945" t="s">
        <v>141</v>
      </c>
      <c r="O4" s="2945" t="s">
        <v>142</v>
      </c>
      <c r="P4" s="2945" t="s">
        <v>143</v>
      </c>
      <c r="Q4" s="2945" t="s">
        <v>2868</v>
      </c>
      <c r="R4" s="2945" t="s">
        <v>2869</v>
      </c>
      <c r="S4" s="2945" t="s">
        <v>2870</v>
      </c>
      <c r="T4" s="2945" t="s">
        <v>2871</v>
      </c>
    </row>
    <row r="5" spans="1:20">
      <c r="A5" s="2950" t="s">
        <v>2834</v>
      </c>
      <c r="B5" s="2941" t="s">
        <v>2848</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2872</v>
      </c>
      <c r="R5" s="2945" t="s">
        <v>2873</v>
      </c>
      <c r="S5" s="2945" t="s">
        <v>153</v>
      </c>
      <c r="T5" s="2945" t="s">
        <v>2874</v>
      </c>
    </row>
    <row r="6" spans="1:20" ht="12" thickBot="1">
      <c r="A6" s="2945" t="s">
        <v>144</v>
      </c>
      <c r="B6" s="2945" t="s">
        <v>2863</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2875</v>
      </c>
      <c r="Q6" s="2945" t="s">
        <v>2876</v>
      </c>
      <c r="R6" s="2945" t="s">
        <v>161</v>
      </c>
      <c r="S6" s="2945" t="s">
        <v>2877</v>
      </c>
      <c r="T6" s="2945" t="s">
        <v>2878</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2879</v>
      </c>
      <c r="Q7" s="2945" t="s">
        <v>2880</v>
      </c>
      <c r="R7" s="2945" t="s">
        <v>2881</v>
      </c>
      <c r="S7" s="2945" t="s">
        <v>2882</v>
      </c>
      <c r="T7" s="2945" t="s">
        <v>2883</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2884</v>
      </c>
      <c r="Q8" s="2945" t="s">
        <v>174</v>
      </c>
      <c r="R8" s="2945" t="s">
        <v>2885</v>
      </c>
      <c r="S8" s="2945" t="s">
        <v>2886</v>
      </c>
      <c r="T8" s="2952" t="s">
        <v>2887</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2888</v>
      </c>
      <c r="Q9" s="2945" t="s">
        <v>182</v>
      </c>
      <c r="R9" s="2945" t="s">
        <v>183</v>
      </c>
      <c r="S9" s="2945" t="s">
        <v>200</v>
      </c>
    </row>
    <row r="10" spans="1:20">
      <c r="A10" s="2950" t="s">
        <v>184</v>
      </c>
      <c r="B10" s="2941" t="s">
        <v>2849</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2889</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2890</v>
      </c>
      <c r="P11" s="2945" t="s">
        <v>191</v>
      </c>
      <c r="Q11" s="2945" t="s">
        <v>199</v>
      </c>
      <c r="R11" s="2945" t="s">
        <v>2891</v>
      </c>
      <c r="S11" s="2945" t="s">
        <v>2892</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2893</v>
      </c>
      <c r="P12" s="2945" t="s">
        <v>2894</v>
      </c>
      <c r="Q12" s="2945" t="s">
        <v>2895</v>
      </c>
      <c r="R12" s="2945" t="s">
        <v>2896</v>
      </c>
      <c r="S12" s="2945" t="s">
        <v>2897</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2898</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2899</v>
      </c>
      <c r="K14" s="2946" t="s">
        <v>215</v>
      </c>
      <c r="L14" s="2945" t="s">
        <v>216</v>
      </c>
      <c r="M14" s="2945" t="s">
        <v>217</v>
      </c>
      <c r="N14" s="2945" t="s">
        <v>218</v>
      </c>
      <c r="O14" s="2945" t="s">
        <v>240</v>
      </c>
      <c r="P14" s="2945" t="s">
        <v>213</v>
      </c>
      <c r="Q14" s="2945" t="s">
        <v>2900</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2901</v>
      </c>
      <c r="P15" s="2945" t="s">
        <v>2902</v>
      </c>
      <c r="Q15" s="2945" t="s">
        <v>242</v>
      </c>
      <c r="R15" s="2945" t="s">
        <v>2903</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2904</v>
      </c>
      <c r="P16" s="2945" t="s">
        <v>227</v>
      </c>
      <c r="Q16" s="2945" t="s">
        <v>250</v>
      </c>
      <c r="R16" s="2945" t="s">
        <v>207</v>
      </c>
      <c r="S16" s="2945" t="s">
        <v>2905</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2906</v>
      </c>
      <c r="P17" s="2945" t="s">
        <v>2907</v>
      </c>
      <c r="Q17" s="2945" t="s">
        <v>256</v>
      </c>
      <c r="R17" s="2945" t="s">
        <v>2908</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2909</v>
      </c>
      <c r="P18" s="2945" t="s">
        <v>241</v>
      </c>
      <c r="Q18" s="2945" t="s">
        <v>2910</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2911</v>
      </c>
      <c r="P19" s="2945" t="s">
        <v>249</v>
      </c>
      <c r="Q19" s="2945" t="s">
        <v>2912</v>
      </c>
      <c r="R19" s="2945" t="s">
        <v>265</v>
      </c>
      <c r="S19" s="2945" t="s">
        <v>2913</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2914</v>
      </c>
      <c r="P20" s="2945" t="s">
        <v>2915</v>
      </c>
      <c r="Q20" s="2945" t="s">
        <v>290</v>
      </c>
      <c r="R20" s="2945" t="s">
        <v>2916</v>
      </c>
      <c r="S20" s="2945" t="s">
        <v>277</v>
      </c>
    </row>
    <row r="21" spans="1:19" ht="14.25" customHeight="1" thickBot="1">
      <c r="A21" s="2945" t="s">
        <v>184</v>
      </c>
      <c r="B21" s="2946" t="s">
        <v>208</v>
      </c>
      <c r="C21" s="2945">
        <v>32370</v>
      </c>
      <c r="D21" s="2945">
        <v>26730</v>
      </c>
      <c r="E21" s="2945">
        <v>26640</v>
      </c>
      <c r="F21" s="2945"/>
      <c r="G21" s="2945">
        <v>19440</v>
      </c>
      <c r="J21" s="2952" t="s">
        <v>2917</v>
      </c>
      <c r="K21" s="2946" t="s">
        <v>267</v>
      </c>
      <c r="L21" s="2945" t="s">
        <v>268</v>
      </c>
      <c r="M21" s="2945" t="s">
        <v>269</v>
      </c>
      <c r="N21" s="2945" t="s">
        <v>270</v>
      </c>
      <c r="O21" s="2945" t="s">
        <v>264</v>
      </c>
      <c r="P21" s="2945" t="s">
        <v>283</v>
      </c>
      <c r="Q21" s="2945" t="s">
        <v>293</v>
      </c>
      <c r="R21" s="2945" t="s">
        <v>2918</v>
      </c>
      <c r="S21" s="2952" t="s">
        <v>2919</v>
      </c>
    </row>
    <row r="22" spans="1:19" ht="14.25" customHeight="1">
      <c r="A22" s="2945" t="s">
        <v>184</v>
      </c>
      <c r="B22" s="2946" t="s">
        <v>2899</v>
      </c>
      <c r="C22" s="2945">
        <v>29830</v>
      </c>
      <c r="D22" s="2945">
        <v>27600</v>
      </c>
      <c r="E22" s="2945">
        <v>28150</v>
      </c>
      <c r="F22" s="2945"/>
      <c r="G22" s="2945">
        <v>20080</v>
      </c>
      <c r="K22" s="2946" t="s">
        <v>2920</v>
      </c>
      <c r="L22" s="2945" t="s">
        <v>272</v>
      </c>
      <c r="M22" s="2945" t="s">
        <v>273</v>
      </c>
      <c r="N22" s="2945" t="s">
        <v>274</v>
      </c>
      <c r="O22" s="2945" t="s">
        <v>2921</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2922</v>
      </c>
      <c r="L23" s="2945" t="s">
        <v>278</v>
      </c>
      <c r="M23" s="2945" t="s">
        <v>279</v>
      </c>
      <c r="N23" s="2945" t="s">
        <v>2923</v>
      </c>
      <c r="O23" s="2945" t="s">
        <v>2924</v>
      </c>
      <c r="P23" s="2945" t="s">
        <v>289</v>
      </c>
      <c r="Q23" s="2945" t="s">
        <v>298</v>
      </c>
      <c r="R23" s="2945" t="s">
        <v>2925</v>
      </c>
    </row>
    <row r="24" spans="1:19" ht="14.25" customHeight="1">
      <c r="A24" s="2945" t="s">
        <v>184</v>
      </c>
      <c r="B24" s="2946" t="s">
        <v>230</v>
      </c>
      <c r="C24" s="2945">
        <v>27930</v>
      </c>
      <c r="D24" s="2945">
        <v>32260</v>
      </c>
      <c r="E24" s="2945">
        <v>32120</v>
      </c>
      <c r="F24" s="2945"/>
      <c r="G24" s="2945">
        <v>23470</v>
      </c>
      <c r="K24" s="2946" t="s">
        <v>2926</v>
      </c>
      <c r="L24" s="2945" t="s">
        <v>281</v>
      </c>
      <c r="M24" s="2945" t="s">
        <v>282</v>
      </c>
      <c r="N24" s="2945" t="s">
        <v>2927</v>
      </c>
      <c r="O24" s="2945" t="s">
        <v>285</v>
      </c>
      <c r="P24" s="2945" t="s">
        <v>2928</v>
      </c>
      <c r="Q24" s="2954" t="s">
        <v>2929</v>
      </c>
      <c r="R24" s="2945" t="s">
        <v>2930</v>
      </c>
    </row>
    <row r="25" spans="1:19" ht="14.25" customHeight="1">
      <c r="A25" s="2945" t="s">
        <v>184</v>
      </c>
      <c r="B25" s="2946" t="s">
        <v>235</v>
      </c>
      <c r="C25" s="2945">
        <v>32230</v>
      </c>
      <c r="D25" s="2945">
        <v>29640</v>
      </c>
      <c r="E25" s="2945">
        <v>29510</v>
      </c>
      <c r="F25" s="2945"/>
      <c r="G25" s="2945">
        <v>21560</v>
      </c>
      <c r="K25" s="2946" t="s">
        <v>2931</v>
      </c>
      <c r="L25" s="2945" t="s">
        <v>2932</v>
      </c>
      <c r="M25" s="2945" t="s">
        <v>284</v>
      </c>
      <c r="N25" s="2945" t="s">
        <v>292</v>
      </c>
      <c r="O25" s="2945" t="s">
        <v>288</v>
      </c>
      <c r="P25" s="2945" t="s">
        <v>275</v>
      </c>
      <c r="Q25" s="2954" t="s">
        <v>271</v>
      </c>
      <c r="R25" s="2945" t="s">
        <v>2933</v>
      </c>
    </row>
    <row r="26" spans="1:19" ht="14.25" customHeight="1" thickBot="1">
      <c r="A26" s="2945" t="s">
        <v>184</v>
      </c>
      <c r="B26" s="2946" t="s">
        <v>244</v>
      </c>
      <c r="C26" s="2945">
        <v>31690</v>
      </c>
      <c r="D26" s="2945">
        <v>27650</v>
      </c>
      <c r="E26" s="2945">
        <v>28200</v>
      </c>
      <c r="F26" s="2945"/>
      <c r="G26" s="2945">
        <v>20110</v>
      </c>
      <c r="K26" s="2951" t="s">
        <v>2934</v>
      </c>
      <c r="L26" s="2945" t="s">
        <v>2935</v>
      </c>
      <c r="M26" s="2945" t="s">
        <v>287</v>
      </c>
      <c r="N26" s="2945" t="s">
        <v>294</v>
      </c>
      <c r="O26" s="2945" t="s">
        <v>2936</v>
      </c>
      <c r="P26" s="2945" t="s">
        <v>2937</v>
      </c>
      <c r="Q26" s="2954" t="s">
        <v>276</v>
      </c>
      <c r="R26" s="2945" t="s">
        <v>2938</v>
      </c>
    </row>
    <row r="27" spans="1:19" ht="14.25" customHeight="1">
      <c r="A27" s="2945" t="s">
        <v>184</v>
      </c>
      <c r="B27" s="2946" t="s">
        <v>251</v>
      </c>
      <c r="C27" s="2945">
        <v>29610</v>
      </c>
      <c r="D27" s="2945">
        <v>27770</v>
      </c>
      <c r="E27" s="2945">
        <v>28300</v>
      </c>
      <c r="F27" s="2945"/>
      <c r="G27" s="2945">
        <v>20210</v>
      </c>
      <c r="L27" s="2945" t="s">
        <v>2939</v>
      </c>
      <c r="M27" s="2945" t="s">
        <v>291</v>
      </c>
      <c r="N27" s="2945" t="s">
        <v>297</v>
      </c>
      <c r="O27" s="2945" t="s">
        <v>2940</v>
      </c>
      <c r="P27" s="2945" t="s">
        <v>2941</v>
      </c>
      <c r="Q27" s="2945" t="s">
        <v>2942</v>
      </c>
      <c r="R27" s="2945" t="s">
        <v>2943</v>
      </c>
    </row>
    <row r="28" spans="1:19" ht="14.25" customHeight="1">
      <c r="A28" s="2945" t="s">
        <v>184</v>
      </c>
      <c r="B28" s="2946" t="s">
        <v>259</v>
      </c>
      <c r="C28" s="2945"/>
      <c r="D28" s="2945">
        <v>31520</v>
      </c>
      <c r="E28" s="2945">
        <v>31410</v>
      </c>
      <c r="F28" s="2945"/>
      <c r="G28" s="2945">
        <v>22940</v>
      </c>
      <c r="L28" s="2945" t="s">
        <v>2944</v>
      </c>
      <c r="M28" s="2945" t="s">
        <v>2945</v>
      </c>
      <c r="N28" s="2945" t="s">
        <v>2946</v>
      </c>
      <c r="O28" s="2945" t="s">
        <v>2947</v>
      </c>
      <c r="P28" s="2945" t="s">
        <v>2948</v>
      </c>
      <c r="Q28" s="2945" t="s">
        <v>2949</v>
      </c>
      <c r="R28" s="2945" t="s">
        <v>2950</v>
      </c>
    </row>
    <row r="29" spans="1:19" ht="14.25" customHeight="1" thickBot="1">
      <c r="A29" s="2953" t="s">
        <v>184</v>
      </c>
      <c r="B29" s="2955" t="s">
        <v>2917</v>
      </c>
      <c r="C29" s="2956"/>
      <c r="D29" s="2956">
        <v>29460</v>
      </c>
      <c r="E29" s="2956">
        <v>28640</v>
      </c>
      <c r="F29" s="2956"/>
      <c r="G29" s="2956">
        <v>21430</v>
      </c>
      <c r="L29" s="2945" t="s">
        <v>2951</v>
      </c>
      <c r="M29" s="2945" t="s">
        <v>2952</v>
      </c>
      <c r="N29" s="2945" t="s">
        <v>2953</v>
      </c>
      <c r="O29" s="2945" t="s">
        <v>2954</v>
      </c>
      <c r="P29" s="2945" t="s">
        <v>2955</v>
      </c>
      <c r="Q29" s="2945" t="s">
        <v>2956</v>
      </c>
      <c r="R29" s="2945" t="s">
        <v>280</v>
      </c>
    </row>
    <row r="30" spans="1:19" ht="14.25" customHeight="1">
      <c r="A30" s="2950" t="s">
        <v>296</v>
      </c>
      <c r="B30" s="2941" t="s">
        <v>2850</v>
      </c>
      <c r="C30" s="2941">
        <v>26890</v>
      </c>
      <c r="D30" s="2941">
        <v>26770</v>
      </c>
      <c r="E30" s="2941">
        <v>25700</v>
      </c>
      <c r="F30" s="2941">
        <v>8180</v>
      </c>
      <c r="G30" s="2957">
        <v>18740</v>
      </c>
      <c r="L30" s="2945" t="s">
        <v>2957</v>
      </c>
      <c r="M30" s="2945" t="s">
        <v>2958</v>
      </c>
      <c r="N30" s="2945" t="s">
        <v>2959</v>
      </c>
      <c r="O30" s="2945" t="s">
        <v>2960</v>
      </c>
      <c r="P30" s="2945" t="s">
        <v>2961</v>
      </c>
      <c r="Q30" s="2945" t="s">
        <v>2962</v>
      </c>
      <c r="R30" s="2945" t="s">
        <v>2963</v>
      </c>
    </row>
    <row r="31" spans="1:19" ht="14.25" customHeight="1">
      <c r="A31" s="2945" t="s">
        <v>296</v>
      </c>
      <c r="B31" s="2946" t="s">
        <v>129</v>
      </c>
      <c r="C31" s="2945">
        <v>24550</v>
      </c>
      <c r="D31" s="2945">
        <v>23990</v>
      </c>
      <c r="E31" s="2945">
        <v>22930</v>
      </c>
      <c r="F31" s="2945">
        <v>7470</v>
      </c>
      <c r="G31" s="2958">
        <v>16790</v>
      </c>
      <c r="L31" s="2945" t="s">
        <v>2964</v>
      </c>
      <c r="M31" s="2945" t="s">
        <v>2965</v>
      </c>
      <c r="N31" s="2945" t="s">
        <v>2966</v>
      </c>
      <c r="O31" s="2945" t="s">
        <v>2967</v>
      </c>
      <c r="P31" s="2945" t="s">
        <v>2968</v>
      </c>
      <c r="Q31" s="2945" t="s">
        <v>2969</v>
      </c>
      <c r="R31" s="2945" t="s">
        <v>2970</v>
      </c>
    </row>
    <row r="32" spans="1:19" ht="14.25" customHeight="1" thickBot="1">
      <c r="A32" s="2945" t="s">
        <v>296</v>
      </c>
      <c r="B32" s="2946" t="s">
        <v>138</v>
      </c>
      <c r="C32" s="2945">
        <v>27210</v>
      </c>
      <c r="D32" s="2945">
        <v>23240</v>
      </c>
      <c r="E32" s="2945">
        <v>23260</v>
      </c>
      <c r="F32" s="2945">
        <v>7130</v>
      </c>
      <c r="G32" s="2958">
        <v>16270</v>
      </c>
      <c r="L32" s="2945" t="s">
        <v>2971</v>
      </c>
      <c r="M32" s="2945" t="s">
        <v>2972</v>
      </c>
      <c r="N32" s="2945" t="s">
        <v>300</v>
      </c>
      <c r="O32" s="2945" t="s">
        <v>2973</v>
      </c>
      <c r="P32" s="2945" t="s">
        <v>299</v>
      </c>
      <c r="Q32" s="2945" t="s">
        <v>2974</v>
      </c>
      <c r="R32" s="2952" t="s">
        <v>2975</v>
      </c>
    </row>
    <row r="33" spans="1:17" ht="14.25" customHeight="1" thickBot="1">
      <c r="A33" s="2945" t="s">
        <v>296</v>
      </c>
      <c r="B33" s="2946" t="s">
        <v>147</v>
      </c>
      <c r="C33" s="2945">
        <v>27300</v>
      </c>
      <c r="D33" s="2945">
        <v>22980</v>
      </c>
      <c r="E33" s="2945">
        <v>24260</v>
      </c>
      <c r="F33" s="2945">
        <v>5860</v>
      </c>
      <c r="G33" s="2958">
        <v>16090</v>
      </c>
      <c r="L33" s="2952" t="s">
        <v>2976</v>
      </c>
      <c r="M33" s="2945" t="s">
        <v>2977</v>
      </c>
      <c r="N33" s="2945" t="s">
        <v>301</v>
      </c>
      <c r="O33" s="2945" t="s">
        <v>2978</v>
      </c>
      <c r="P33" s="2945" t="s">
        <v>2979</v>
      </c>
      <c r="Q33" s="2945" t="s">
        <v>2980</v>
      </c>
    </row>
    <row r="34" spans="1:17" ht="14.25" customHeight="1">
      <c r="A34" s="2945" t="s">
        <v>296</v>
      </c>
      <c r="B34" s="2946" t="s">
        <v>156</v>
      </c>
      <c r="C34" s="2945">
        <v>23090</v>
      </c>
      <c r="D34" s="2945">
        <v>23390</v>
      </c>
      <c r="E34" s="2945">
        <v>23510</v>
      </c>
      <c r="F34" s="2945">
        <v>6700</v>
      </c>
      <c r="G34" s="2958">
        <v>16370</v>
      </c>
      <c r="M34" s="2945" t="s">
        <v>2981</v>
      </c>
      <c r="N34" s="2945" t="s">
        <v>302</v>
      </c>
      <c r="O34" s="2945" t="s">
        <v>2982</v>
      </c>
      <c r="P34" s="2945" t="s">
        <v>2983</v>
      </c>
      <c r="Q34" s="2945" t="s">
        <v>2984</v>
      </c>
    </row>
    <row r="35" spans="1:17" ht="14.25" customHeight="1">
      <c r="A35" s="2945" t="s">
        <v>296</v>
      </c>
      <c r="B35" s="2946" t="s">
        <v>163</v>
      </c>
      <c r="C35" s="2945">
        <v>27270</v>
      </c>
      <c r="D35" s="2945">
        <v>24270</v>
      </c>
      <c r="E35" s="2945">
        <v>24950</v>
      </c>
      <c r="F35" s="2945">
        <v>6600</v>
      </c>
      <c r="G35" s="2958">
        <v>16990</v>
      </c>
      <c r="M35" s="2945" t="s">
        <v>2985</v>
      </c>
      <c r="N35" s="2945" t="s">
        <v>2986</v>
      </c>
      <c r="O35" s="2945" t="s">
        <v>2987</v>
      </c>
      <c r="P35" s="2945" t="s">
        <v>2988</v>
      </c>
      <c r="Q35" s="2945" t="s">
        <v>2989</v>
      </c>
    </row>
    <row r="36" spans="1:17" ht="14.25" customHeight="1">
      <c r="A36" s="2945" t="s">
        <v>296</v>
      </c>
      <c r="B36" s="2946" t="s">
        <v>169</v>
      </c>
      <c r="C36" s="2945">
        <v>23490</v>
      </c>
      <c r="D36" s="2945">
        <v>23020</v>
      </c>
      <c r="E36" s="2945">
        <v>25230</v>
      </c>
      <c r="F36" s="2945">
        <v>6780</v>
      </c>
      <c r="G36" s="2958">
        <v>16120</v>
      </c>
      <c r="M36" s="2945" t="s">
        <v>2990</v>
      </c>
      <c r="N36" s="2945" t="s">
        <v>2991</v>
      </c>
      <c r="O36" s="2945" t="s">
        <v>2992</v>
      </c>
      <c r="P36" s="2945" t="s">
        <v>2993</v>
      </c>
      <c r="Q36" s="2945" t="s">
        <v>2994</v>
      </c>
    </row>
    <row r="37" spans="1:17" ht="14.25" customHeight="1">
      <c r="A37" s="2945" t="s">
        <v>296</v>
      </c>
      <c r="B37" s="2946" t="s">
        <v>176</v>
      </c>
      <c r="C37" s="2945">
        <v>24380</v>
      </c>
      <c r="D37" s="2945">
        <v>22240</v>
      </c>
      <c r="E37" s="2945">
        <v>25980</v>
      </c>
      <c r="F37" s="2945">
        <v>8160</v>
      </c>
      <c r="G37" s="2958">
        <v>15570</v>
      </c>
      <c r="M37" s="2945" t="s">
        <v>2995</v>
      </c>
      <c r="N37" s="2945" t="s">
        <v>2996</v>
      </c>
      <c r="O37" s="2945" t="s">
        <v>2997</v>
      </c>
      <c r="P37" s="2945" t="s">
        <v>2998</v>
      </c>
      <c r="Q37" s="2945" t="s">
        <v>2999</v>
      </c>
    </row>
    <row r="38" spans="1:17" ht="14.25" customHeight="1">
      <c r="A38" s="2945" t="s">
        <v>296</v>
      </c>
      <c r="B38" s="2946" t="s">
        <v>186</v>
      </c>
      <c r="C38" s="2945">
        <v>23120</v>
      </c>
      <c r="D38" s="2945">
        <v>24630</v>
      </c>
      <c r="E38" s="2945">
        <v>25030</v>
      </c>
      <c r="F38" s="2945">
        <v>7710</v>
      </c>
      <c r="G38" s="2958">
        <v>17240</v>
      </c>
      <c r="M38" s="2945" t="s">
        <v>3000</v>
      </c>
      <c r="N38" s="2945" t="s">
        <v>3001</v>
      </c>
      <c r="O38" s="2945" t="s">
        <v>3002</v>
      </c>
      <c r="P38" s="2945" t="s">
        <v>3003</v>
      </c>
      <c r="Q38" s="2945" t="s">
        <v>3004</v>
      </c>
    </row>
    <row r="39" spans="1:17" ht="14.25" customHeight="1">
      <c r="A39" s="2945" t="s">
        <v>296</v>
      </c>
      <c r="B39" s="2946" t="s">
        <v>195</v>
      </c>
      <c r="C39" s="2945">
        <v>22330</v>
      </c>
      <c r="D39" s="2945">
        <v>21140</v>
      </c>
      <c r="E39" s="2945">
        <v>23970</v>
      </c>
      <c r="F39" s="2945">
        <v>7940</v>
      </c>
      <c r="G39" s="2958">
        <v>14790</v>
      </c>
      <c r="M39" s="2945" t="s">
        <v>3005</v>
      </c>
      <c r="N39" s="2945" t="s">
        <v>3006</v>
      </c>
      <c r="O39" s="2945" t="s">
        <v>3007</v>
      </c>
      <c r="P39" s="2945" t="s">
        <v>3008</v>
      </c>
      <c r="Q39" s="2945" t="s">
        <v>3009</v>
      </c>
    </row>
    <row r="40" spans="1:17" ht="14.25" customHeight="1">
      <c r="A40" s="2945" t="s">
        <v>296</v>
      </c>
      <c r="B40" s="2946" t="s">
        <v>202</v>
      </c>
      <c r="C40" s="2945">
        <v>24740</v>
      </c>
      <c r="D40" s="2945">
        <v>24690</v>
      </c>
      <c r="E40" s="2945">
        <v>22610</v>
      </c>
      <c r="F40" s="2945"/>
      <c r="G40" s="2958">
        <v>17280</v>
      </c>
      <c r="M40" s="2945" t="s">
        <v>3010</v>
      </c>
      <c r="N40" s="2945" t="s">
        <v>3011</v>
      </c>
      <c r="O40" s="2945" t="s">
        <v>3012</v>
      </c>
      <c r="P40" s="2945" t="s">
        <v>3013</v>
      </c>
      <c r="Q40" s="2945" t="s">
        <v>3014</v>
      </c>
    </row>
    <row r="41" spans="1:17" ht="14.25" customHeight="1" thickBot="1">
      <c r="A41" s="2945" t="s">
        <v>296</v>
      </c>
      <c r="B41" s="2946" t="s">
        <v>209</v>
      </c>
      <c r="C41" s="2945">
        <v>21220</v>
      </c>
      <c r="D41" s="2945">
        <v>21120</v>
      </c>
      <c r="E41" s="2945">
        <v>22590</v>
      </c>
      <c r="F41" s="2945"/>
      <c r="G41" s="2958">
        <v>14780</v>
      </c>
      <c r="M41" s="2952" t="s">
        <v>3015</v>
      </c>
      <c r="N41" s="2945" t="s">
        <v>3016</v>
      </c>
      <c r="O41" s="2945" t="s">
        <v>3017</v>
      </c>
      <c r="P41" s="2945" t="s">
        <v>3018</v>
      </c>
      <c r="Q41" s="2945" t="s">
        <v>3019</v>
      </c>
    </row>
    <row r="42" spans="1:17" ht="14.25" customHeight="1">
      <c r="A42" s="2945" t="s">
        <v>296</v>
      </c>
      <c r="B42" s="2946" t="s">
        <v>215</v>
      </c>
      <c r="C42" s="2945">
        <v>24800</v>
      </c>
      <c r="D42" s="2945">
        <v>22280</v>
      </c>
      <c r="E42" s="2945">
        <v>24350</v>
      </c>
      <c r="F42" s="2945"/>
      <c r="G42" s="2958">
        <v>15590</v>
      </c>
      <c r="N42" s="2945" t="s">
        <v>3020</v>
      </c>
      <c r="O42" s="2945" t="s">
        <v>3021</v>
      </c>
      <c r="P42" s="2945" t="s">
        <v>3022</v>
      </c>
      <c r="Q42" s="2945" t="s">
        <v>3023</v>
      </c>
    </row>
    <row r="43" spans="1:17" ht="14.25" customHeight="1">
      <c r="A43" s="2945" t="s">
        <v>3024</v>
      </c>
      <c r="B43" s="2946" t="s">
        <v>223</v>
      </c>
      <c r="C43" s="2945">
        <v>21210</v>
      </c>
      <c r="D43" s="2945">
        <v>21160</v>
      </c>
      <c r="E43" s="2945">
        <v>22650</v>
      </c>
      <c r="F43" s="2945"/>
      <c r="G43" s="2958">
        <v>14800</v>
      </c>
      <c r="N43" s="2945" t="s">
        <v>3025</v>
      </c>
      <c r="O43" s="2945" t="s">
        <v>3026</v>
      </c>
      <c r="P43" s="2945" t="s">
        <v>3027</v>
      </c>
      <c r="Q43" s="2945" t="s">
        <v>3028</v>
      </c>
    </row>
    <row r="44" spans="1:17" ht="14.25" customHeight="1" thickBot="1">
      <c r="A44" s="2945" t="s">
        <v>296</v>
      </c>
      <c r="B44" s="2946" t="s">
        <v>231</v>
      </c>
      <c r="C44" s="2945">
        <v>22370</v>
      </c>
      <c r="D44" s="2945">
        <v>23140</v>
      </c>
      <c r="E44" s="2945">
        <v>25090</v>
      </c>
      <c r="F44" s="2945"/>
      <c r="G44" s="2958">
        <v>16190</v>
      </c>
      <c r="N44" s="2945" t="s">
        <v>3029</v>
      </c>
      <c r="O44" s="2945" t="s">
        <v>3030</v>
      </c>
      <c r="P44" s="2952" t="s">
        <v>3031</v>
      </c>
      <c r="Q44" s="2945" t="s">
        <v>3032</v>
      </c>
    </row>
    <row r="45" spans="1:17" ht="14.25" customHeight="1" thickBot="1">
      <c r="A45" s="2945" t="s">
        <v>296</v>
      </c>
      <c r="B45" s="2946" t="s">
        <v>236</v>
      </c>
      <c r="C45" s="2945">
        <v>21240</v>
      </c>
      <c r="D45" s="2945">
        <v>27050</v>
      </c>
      <c r="E45" s="2945">
        <v>28000</v>
      </c>
      <c r="F45" s="2945"/>
      <c r="G45" s="2958">
        <v>18940</v>
      </c>
      <c r="N45" s="2945" t="s">
        <v>3033</v>
      </c>
      <c r="O45" s="2952" t="s">
        <v>3034</v>
      </c>
      <c r="Q45" s="2945" t="s">
        <v>3035</v>
      </c>
    </row>
    <row r="46" spans="1:17" ht="14.25" customHeight="1">
      <c r="A46" s="2945" t="s">
        <v>296</v>
      </c>
      <c r="B46" s="2946" t="s">
        <v>245</v>
      </c>
      <c r="C46" s="2945">
        <v>23240</v>
      </c>
      <c r="D46" s="2945">
        <v>23000</v>
      </c>
      <c r="E46" s="2945">
        <v>24980</v>
      </c>
      <c r="F46" s="2945"/>
      <c r="G46" s="2958">
        <v>16100</v>
      </c>
      <c r="N46" s="2945" t="s">
        <v>3036</v>
      </c>
      <c r="Q46" s="2945" t="s">
        <v>3037</v>
      </c>
    </row>
    <row r="47" spans="1:17" ht="14.25" customHeight="1">
      <c r="A47" s="2945" t="s">
        <v>296</v>
      </c>
      <c r="B47" s="2946" t="s">
        <v>252</v>
      </c>
      <c r="C47" s="2945">
        <v>27150</v>
      </c>
      <c r="D47" s="2945">
        <v>23310</v>
      </c>
      <c r="E47" s="2945">
        <v>25150</v>
      </c>
      <c r="F47" s="2945"/>
      <c r="G47" s="2958">
        <v>16310</v>
      </c>
      <c r="N47" s="2945" t="s">
        <v>3038</v>
      </c>
      <c r="Q47" s="2945" t="s">
        <v>3039</v>
      </c>
    </row>
    <row r="48" spans="1:17" ht="14.25" customHeight="1">
      <c r="A48" s="2945" t="s">
        <v>296</v>
      </c>
      <c r="B48" s="2946" t="s">
        <v>260</v>
      </c>
      <c r="C48" s="2945">
        <v>23100</v>
      </c>
      <c r="D48" s="2945">
        <v>21110</v>
      </c>
      <c r="E48" s="2945">
        <v>23080</v>
      </c>
      <c r="F48" s="2945"/>
      <c r="G48" s="2958">
        <v>14780</v>
      </c>
      <c r="N48" s="2945" t="s">
        <v>3040</v>
      </c>
      <c r="Q48" s="2945" t="s">
        <v>3041</v>
      </c>
    </row>
    <row r="49" spans="1:17" ht="14.25" customHeight="1">
      <c r="A49" s="2945" t="s">
        <v>296</v>
      </c>
      <c r="B49" s="2946" t="s">
        <v>267</v>
      </c>
      <c r="C49" s="2945">
        <v>23400</v>
      </c>
      <c r="D49" s="2945">
        <v>22920</v>
      </c>
      <c r="E49" s="2945">
        <v>24900</v>
      </c>
      <c r="F49" s="2945"/>
      <c r="G49" s="2958">
        <v>16040</v>
      </c>
      <c r="N49" s="2945" t="s">
        <v>3042</v>
      </c>
      <c r="Q49" s="2945" t="s">
        <v>3043</v>
      </c>
    </row>
    <row r="50" spans="1:17" ht="14.25" customHeight="1">
      <c r="A50" s="2945" t="s">
        <v>296</v>
      </c>
      <c r="B50" s="2946" t="s">
        <v>2920</v>
      </c>
      <c r="C50" s="2945">
        <v>21200</v>
      </c>
      <c r="D50" s="2945">
        <v>26540</v>
      </c>
      <c r="E50" s="2945">
        <v>23200</v>
      </c>
      <c r="F50" s="2945"/>
      <c r="G50" s="2958">
        <v>18580</v>
      </c>
      <c r="N50" s="2945" t="s">
        <v>3044</v>
      </c>
      <c r="Q50" s="2946" t="s">
        <v>3045</v>
      </c>
    </row>
    <row r="51" spans="1:17" ht="14.25" customHeight="1" thickBot="1">
      <c r="A51" s="2945" t="s">
        <v>296</v>
      </c>
      <c r="B51" s="2946" t="s">
        <v>2922</v>
      </c>
      <c r="C51" s="2945">
        <v>23000</v>
      </c>
      <c r="D51" s="2945">
        <v>23460</v>
      </c>
      <c r="E51" s="2945">
        <v>25290</v>
      </c>
      <c r="F51" s="2945"/>
      <c r="G51" s="2958">
        <v>16420</v>
      </c>
      <c r="N51" s="2945" t="s">
        <v>3046</v>
      </c>
      <c r="Q51" s="2952" t="s">
        <v>3047</v>
      </c>
    </row>
    <row r="52" spans="1:17" ht="14.25" customHeight="1">
      <c r="A52" s="2945" t="s">
        <v>296</v>
      </c>
      <c r="B52" s="2946" t="s">
        <v>2926</v>
      </c>
      <c r="C52" s="2945">
        <v>26660</v>
      </c>
      <c r="D52" s="2945">
        <v>22350</v>
      </c>
      <c r="E52" s="2945">
        <v>22920</v>
      </c>
      <c r="F52" s="2945"/>
      <c r="G52" s="2958">
        <v>15640</v>
      </c>
      <c r="N52" s="2945" t="s">
        <v>3048</v>
      </c>
    </row>
    <row r="53" spans="1:17" ht="14.25" customHeight="1">
      <c r="A53" s="2945" t="s">
        <v>296</v>
      </c>
      <c r="B53" s="2946" t="s">
        <v>2931</v>
      </c>
      <c r="C53" s="2945">
        <v>23580</v>
      </c>
      <c r="D53" s="2945"/>
      <c r="E53" s="2945">
        <v>24280</v>
      </c>
      <c r="F53" s="2945"/>
      <c r="G53" s="2958"/>
      <c r="N53" s="2945" t="s">
        <v>3049</v>
      </c>
    </row>
    <row r="54" spans="1:17" ht="14.25" customHeight="1" thickBot="1">
      <c r="A54" s="2959" t="s">
        <v>296</v>
      </c>
      <c r="B54" s="2951" t="s">
        <v>2934</v>
      </c>
      <c r="C54" s="2952">
        <v>22460</v>
      </c>
      <c r="D54" s="2952"/>
      <c r="E54" s="2952"/>
      <c r="F54" s="2952"/>
      <c r="G54" s="2960"/>
      <c r="N54" s="2945" t="s">
        <v>3050</v>
      </c>
    </row>
    <row r="55" spans="1:17" ht="14.25" customHeight="1">
      <c r="A55" s="2950" t="s">
        <v>110</v>
      </c>
      <c r="B55" s="2941" t="s">
        <v>3051</v>
      </c>
      <c r="C55" s="2945">
        <v>21970</v>
      </c>
      <c r="D55" s="2945">
        <v>20370</v>
      </c>
      <c r="E55" s="2945">
        <v>20180</v>
      </c>
      <c r="F55" s="2945">
        <v>5730</v>
      </c>
      <c r="G55" s="2945">
        <v>13820</v>
      </c>
      <c r="N55" s="2945" t="s">
        <v>3052</v>
      </c>
    </row>
    <row r="56" spans="1:17" ht="14.25" customHeight="1">
      <c r="A56" s="2945" t="s">
        <v>110</v>
      </c>
      <c r="B56" s="2945" t="s">
        <v>130</v>
      </c>
      <c r="C56" s="2945">
        <v>20470</v>
      </c>
      <c r="D56" s="2945">
        <v>20700</v>
      </c>
      <c r="E56" s="2945">
        <v>20380</v>
      </c>
      <c r="F56" s="2945">
        <v>4760</v>
      </c>
      <c r="G56" s="2945">
        <v>14050</v>
      </c>
      <c r="N56" s="2945" t="s">
        <v>3053</v>
      </c>
    </row>
    <row r="57" spans="1:17" ht="14.25" customHeight="1">
      <c r="A57" s="2945" t="s">
        <v>110</v>
      </c>
      <c r="B57" s="2945" t="s">
        <v>139</v>
      </c>
      <c r="C57" s="2945">
        <v>20790</v>
      </c>
      <c r="D57" s="2945">
        <v>21370</v>
      </c>
      <c r="E57" s="2945">
        <v>20890</v>
      </c>
      <c r="F57" s="2945">
        <v>4910</v>
      </c>
      <c r="G57" s="2945">
        <v>14510</v>
      </c>
      <c r="N57" s="2945" t="s">
        <v>3054</v>
      </c>
    </row>
    <row r="58" spans="1:17" ht="14.25" customHeight="1">
      <c r="A58" s="2945" t="s">
        <v>110</v>
      </c>
      <c r="B58" s="2945" t="s">
        <v>148</v>
      </c>
      <c r="C58" s="2945">
        <v>21460</v>
      </c>
      <c r="D58" s="2945">
        <v>20920</v>
      </c>
      <c r="E58" s="2945">
        <v>23410</v>
      </c>
      <c r="F58" s="2945">
        <v>5100</v>
      </c>
      <c r="G58" s="2945">
        <v>14200</v>
      </c>
      <c r="N58" s="2945" t="s">
        <v>3055</v>
      </c>
    </row>
    <row r="59" spans="1:17" ht="14.25" customHeight="1">
      <c r="A59" s="2945" t="s">
        <v>110</v>
      </c>
      <c r="B59" s="2945" t="s">
        <v>157</v>
      </c>
      <c r="C59" s="2945">
        <v>21000</v>
      </c>
      <c r="D59" s="2945">
        <v>21550</v>
      </c>
      <c r="E59" s="2945">
        <v>21150</v>
      </c>
      <c r="F59" s="2945">
        <v>5250</v>
      </c>
      <c r="G59" s="2945">
        <v>14630</v>
      </c>
      <c r="N59" s="2945" t="s">
        <v>3056</v>
      </c>
    </row>
    <row r="60" spans="1:17" ht="14.25" customHeight="1">
      <c r="A60" s="2945" t="s">
        <v>110</v>
      </c>
      <c r="B60" s="2945" t="s">
        <v>164</v>
      </c>
      <c r="C60" s="2945">
        <v>21640</v>
      </c>
      <c r="D60" s="2945">
        <v>21260</v>
      </c>
      <c r="E60" s="2945">
        <v>24040</v>
      </c>
      <c r="F60" s="2945">
        <v>4470</v>
      </c>
      <c r="G60" s="2945">
        <v>14430</v>
      </c>
      <c r="N60" s="2945" t="s">
        <v>3057</v>
      </c>
    </row>
    <row r="61" spans="1:17" ht="14.25" customHeight="1">
      <c r="A61" s="2945" t="s">
        <v>110</v>
      </c>
      <c r="B61" s="2945" t="s">
        <v>170</v>
      </c>
      <c r="C61" s="2945">
        <v>21330</v>
      </c>
      <c r="D61" s="2945">
        <v>18640</v>
      </c>
      <c r="E61" s="2945">
        <v>21190</v>
      </c>
      <c r="F61" s="2945">
        <v>4180</v>
      </c>
      <c r="G61" s="2945">
        <v>12650</v>
      </c>
      <c r="N61" s="2945" t="s">
        <v>3058</v>
      </c>
    </row>
    <row r="62" spans="1:17" ht="14.25" customHeight="1">
      <c r="A62" s="2945" t="s">
        <v>110</v>
      </c>
      <c r="B62" s="2945" t="s">
        <v>177</v>
      </c>
      <c r="C62" s="2945">
        <v>18710</v>
      </c>
      <c r="D62" s="2945">
        <v>19400</v>
      </c>
      <c r="E62" s="2945">
        <v>23750</v>
      </c>
      <c r="F62" s="2945">
        <v>4860</v>
      </c>
      <c r="G62" s="2945">
        <v>13170</v>
      </c>
      <c r="N62" s="2945" t="s">
        <v>3059</v>
      </c>
    </row>
    <row r="63" spans="1:17" ht="14.25" customHeight="1">
      <c r="A63" s="2945" t="s">
        <v>110</v>
      </c>
      <c r="B63" s="2945" t="s">
        <v>187</v>
      </c>
      <c r="C63" s="2945">
        <v>19480</v>
      </c>
      <c r="D63" s="2945">
        <v>16830</v>
      </c>
      <c r="E63" s="2945">
        <v>21590</v>
      </c>
      <c r="F63" s="2945">
        <v>4560</v>
      </c>
      <c r="G63" s="2945">
        <v>11420</v>
      </c>
      <c r="N63" s="2945" t="s">
        <v>3060</v>
      </c>
    </row>
    <row r="64" spans="1:17" ht="14.25" customHeight="1" thickBot="1">
      <c r="A64" s="2945" t="s">
        <v>110</v>
      </c>
      <c r="B64" s="2945" t="s">
        <v>196</v>
      </c>
      <c r="C64" s="2945">
        <v>16920</v>
      </c>
      <c r="D64" s="2945">
        <v>19190</v>
      </c>
      <c r="E64" s="2945">
        <v>22200</v>
      </c>
      <c r="F64" s="2945">
        <v>4390</v>
      </c>
      <c r="G64" s="2945">
        <v>13030</v>
      </c>
      <c r="N64" s="2952" t="s">
        <v>3061</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2932</v>
      </c>
      <c r="C78" s="2945">
        <v>19820</v>
      </c>
      <c r="D78" s="2945">
        <v>19780</v>
      </c>
      <c r="E78" s="2945">
        <v>18560</v>
      </c>
      <c r="F78" s="2945"/>
      <c r="G78" s="2945">
        <v>13430</v>
      </c>
    </row>
    <row r="79" spans="1:7" s="2779" customFormat="1" ht="14.25" customHeight="1">
      <c r="A79" s="2945" t="s">
        <v>110</v>
      </c>
      <c r="B79" s="2945" t="s">
        <v>2935</v>
      </c>
      <c r="C79" s="2945">
        <v>21660</v>
      </c>
      <c r="D79" s="2945">
        <v>18000</v>
      </c>
      <c r="E79" s="2945">
        <v>22570</v>
      </c>
      <c r="F79" s="2945"/>
      <c r="G79" s="2945">
        <v>12220</v>
      </c>
    </row>
    <row r="80" spans="1:7" s="2779" customFormat="1" ht="14.25" customHeight="1">
      <c r="A80" s="2945" t="s">
        <v>110</v>
      </c>
      <c r="B80" s="2945" t="s">
        <v>2939</v>
      </c>
      <c r="C80" s="2945">
        <v>19850</v>
      </c>
      <c r="D80" s="2945"/>
      <c r="E80" s="2945">
        <v>21700</v>
      </c>
      <c r="F80" s="2945"/>
      <c r="G80" s="2945"/>
    </row>
    <row r="81" spans="1:7" s="2779" customFormat="1" ht="14.25" customHeight="1">
      <c r="A81" s="2945" t="s">
        <v>110</v>
      </c>
      <c r="B81" s="2945" t="s">
        <v>2944</v>
      </c>
      <c r="C81" s="2945">
        <v>18080</v>
      </c>
      <c r="D81" s="2945"/>
      <c r="E81" s="2945">
        <v>20900</v>
      </c>
      <c r="F81" s="2945"/>
      <c r="G81" s="2945"/>
    </row>
    <row r="82" spans="1:7" s="2779" customFormat="1" ht="14.25" customHeight="1">
      <c r="A82" s="2945" t="s">
        <v>110</v>
      </c>
      <c r="B82" s="2945" t="s">
        <v>2951</v>
      </c>
      <c r="C82" s="2945"/>
      <c r="D82" s="2945"/>
      <c r="E82" s="2945">
        <v>20840</v>
      </c>
      <c r="F82" s="2945"/>
      <c r="G82" s="2945"/>
    </row>
    <row r="83" spans="1:7" s="2779" customFormat="1" ht="14.25" customHeight="1">
      <c r="A83" s="2945" t="s">
        <v>110</v>
      </c>
      <c r="B83" s="2945" t="s">
        <v>3062</v>
      </c>
      <c r="C83" s="2945"/>
      <c r="D83" s="2945"/>
      <c r="E83" s="2945"/>
      <c r="F83" s="2945">
        <v>4770</v>
      </c>
      <c r="G83" s="2945"/>
    </row>
    <row r="84" spans="1:7" s="2779" customFormat="1" ht="14.25" customHeight="1">
      <c r="A84" s="2945" t="s">
        <v>110</v>
      </c>
      <c r="B84" s="2945" t="s">
        <v>3063</v>
      </c>
      <c r="C84" s="2945"/>
      <c r="D84" s="2945"/>
      <c r="E84" s="2945"/>
      <c r="F84" s="2945">
        <v>4600</v>
      </c>
      <c r="G84" s="2945"/>
    </row>
    <row r="85" spans="1:7" s="2779" customFormat="1" ht="14.25" customHeight="1">
      <c r="A85" s="2945" t="s">
        <v>110</v>
      </c>
      <c r="B85" s="2945" t="s">
        <v>3064</v>
      </c>
      <c r="C85" s="2945"/>
      <c r="D85" s="2945"/>
      <c r="E85" s="2945"/>
      <c r="F85" s="2945">
        <v>4680</v>
      </c>
      <c r="G85" s="2945"/>
    </row>
    <row r="86" spans="1:7" s="2779" customFormat="1" ht="14.25" customHeight="1" thickBot="1">
      <c r="A86" s="2953" t="s">
        <v>110</v>
      </c>
      <c r="B86" s="2955" t="s">
        <v>3065</v>
      </c>
      <c r="C86" s="2956">
        <v>16610</v>
      </c>
      <c r="D86" s="2956">
        <v>16540</v>
      </c>
      <c r="E86" s="2956">
        <v>18850</v>
      </c>
      <c r="F86" s="2956"/>
      <c r="G86" s="2956">
        <v>11220</v>
      </c>
    </row>
    <row r="87" spans="1:7" s="2779" customFormat="1" ht="14.25" customHeight="1">
      <c r="A87" s="2950" t="s">
        <v>303</v>
      </c>
      <c r="B87" s="2941" t="s">
        <v>3066</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2945</v>
      </c>
      <c r="C113" s="2945">
        <v>15520</v>
      </c>
      <c r="D113" s="2945">
        <v>15450</v>
      </c>
      <c r="E113" s="2945"/>
      <c r="F113" s="2945"/>
      <c r="G113" s="2958">
        <v>10210</v>
      </c>
    </row>
    <row r="114" spans="1:7" s="2779" customFormat="1" ht="14.25" customHeight="1">
      <c r="A114" s="2945" t="s">
        <v>303</v>
      </c>
      <c r="B114" s="2945" t="s">
        <v>2952</v>
      </c>
      <c r="C114" s="2945">
        <v>13110</v>
      </c>
      <c r="D114" s="2945">
        <v>13050</v>
      </c>
      <c r="E114" s="2945"/>
      <c r="F114" s="2945"/>
      <c r="G114" s="2958">
        <v>8620</v>
      </c>
    </row>
    <row r="115" spans="1:7" s="2779" customFormat="1" ht="14.25" customHeight="1">
      <c r="A115" s="2945" t="s">
        <v>303</v>
      </c>
      <c r="B115" s="2945" t="s">
        <v>2958</v>
      </c>
      <c r="C115" s="2945">
        <v>12460</v>
      </c>
      <c r="D115" s="2945">
        <v>12390</v>
      </c>
      <c r="E115" s="2945"/>
      <c r="F115" s="2945"/>
      <c r="G115" s="2958">
        <v>8190</v>
      </c>
    </row>
    <row r="116" spans="1:7" s="2779" customFormat="1" ht="14.25" customHeight="1">
      <c r="A116" s="2945" t="s">
        <v>303</v>
      </c>
      <c r="B116" s="2945" t="s">
        <v>2965</v>
      </c>
      <c r="C116" s="2945">
        <v>13580</v>
      </c>
      <c r="D116" s="2945">
        <v>13520</v>
      </c>
      <c r="E116" s="2945"/>
      <c r="F116" s="2945"/>
      <c r="G116" s="2958">
        <v>8930</v>
      </c>
    </row>
    <row r="117" spans="1:7" s="2779" customFormat="1" ht="14.25" customHeight="1">
      <c r="A117" s="2945" t="s">
        <v>303</v>
      </c>
      <c r="B117" s="2945" t="s">
        <v>2972</v>
      </c>
      <c r="C117" s="2945">
        <v>17120</v>
      </c>
      <c r="D117" s="2945">
        <v>17040</v>
      </c>
      <c r="E117" s="2945"/>
      <c r="F117" s="2945"/>
      <c r="G117" s="2958">
        <v>11260</v>
      </c>
    </row>
    <row r="118" spans="1:7" s="2779" customFormat="1" ht="14.25" customHeight="1">
      <c r="A118" s="2945" t="s">
        <v>303</v>
      </c>
      <c r="B118" s="2945" t="s">
        <v>2977</v>
      </c>
      <c r="C118" s="2945">
        <v>14860</v>
      </c>
      <c r="D118" s="2945">
        <v>14790</v>
      </c>
      <c r="E118" s="2945"/>
      <c r="F118" s="2945"/>
      <c r="G118" s="2958">
        <v>9780</v>
      </c>
    </row>
    <row r="119" spans="1:7" s="2779" customFormat="1" ht="14.25" customHeight="1">
      <c r="A119" s="2945" t="s">
        <v>303</v>
      </c>
      <c r="B119" s="2945" t="s">
        <v>2981</v>
      </c>
      <c r="C119" s="2945">
        <v>16470</v>
      </c>
      <c r="D119" s="2945">
        <v>16400</v>
      </c>
      <c r="E119" s="2945"/>
      <c r="F119" s="2945"/>
      <c r="G119" s="2958">
        <v>10840</v>
      </c>
    </row>
    <row r="120" spans="1:7" s="2779" customFormat="1" ht="14.25" customHeight="1">
      <c r="A120" s="2945" t="s">
        <v>303</v>
      </c>
      <c r="B120" s="2945" t="s">
        <v>3067</v>
      </c>
      <c r="C120" s="2945"/>
      <c r="D120" s="2945"/>
      <c r="E120" s="2945"/>
      <c r="F120" s="2945">
        <v>4160</v>
      </c>
      <c r="G120" s="2958"/>
    </row>
    <row r="121" spans="1:7" s="2779" customFormat="1" ht="14.25" customHeight="1">
      <c r="A121" s="2945" t="s">
        <v>303</v>
      </c>
      <c r="B121" s="2945" t="s">
        <v>3068</v>
      </c>
      <c r="C121" s="2945"/>
      <c r="D121" s="2945"/>
      <c r="E121" s="2945"/>
      <c r="F121" s="2945">
        <v>3880</v>
      </c>
      <c r="G121" s="2958"/>
    </row>
    <row r="122" spans="1:7" s="2779" customFormat="1" ht="14.25" customHeight="1">
      <c r="A122" s="2945" t="s">
        <v>303</v>
      </c>
      <c r="B122" s="2945" t="s">
        <v>3069</v>
      </c>
      <c r="C122" s="2945">
        <v>13750</v>
      </c>
      <c r="D122" s="2945">
        <v>13680</v>
      </c>
      <c r="E122" s="2945">
        <v>16460</v>
      </c>
      <c r="F122" s="2945">
        <v>2880</v>
      </c>
      <c r="G122" s="2958">
        <v>9040</v>
      </c>
    </row>
    <row r="123" spans="1:7" s="2779" customFormat="1" ht="14.25" customHeight="1">
      <c r="A123" s="2945" t="s">
        <v>303</v>
      </c>
      <c r="B123" s="2945" t="s">
        <v>3000</v>
      </c>
      <c r="C123" s="2945">
        <v>13590</v>
      </c>
      <c r="D123" s="2945">
        <v>13520</v>
      </c>
      <c r="E123" s="2945">
        <v>16290</v>
      </c>
      <c r="F123" s="2945">
        <v>2790</v>
      </c>
      <c r="G123" s="2958">
        <v>8930</v>
      </c>
    </row>
    <row r="124" spans="1:7" s="2779" customFormat="1" ht="14.25" customHeight="1">
      <c r="A124" s="2945" t="s">
        <v>303</v>
      </c>
      <c r="B124" s="2945" t="s">
        <v>3005</v>
      </c>
      <c r="C124" s="2945">
        <v>13400</v>
      </c>
      <c r="D124" s="2945">
        <v>13320</v>
      </c>
      <c r="E124" s="2945">
        <v>16100</v>
      </c>
      <c r="F124" s="2945">
        <v>2320</v>
      </c>
      <c r="G124" s="2958">
        <v>8800</v>
      </c>
    </row>
    <row r="125" spans="1:7" s="2779" customFormat="1" ht="14.25" customHeight="1">
      <c r="A125" s="2945" t="s">
        <v>303</v>
      </c>
      <c r="B125" s="2945" t="s">
        <v>3010</v>
      </c>
      <c r="C125" s="2945">
        <v>12860</v>
      </c>
      <c r="D125" s="2945">
        <v>12790</v>
      </c>
      <c r="E125" s="2945">
        <v>15370</v>
      </c>
      <c r="F125" s="2945">
        <v>2280</v>
      </c>
      <c r="G125" s="2958">
        <v>8450</v>
      </c>
    </row>
    <row r="126" spans="1:7" s="2779" customFormat="1" ht="14.25" customHeight="1" thickBot="1">
      <c r="A126" s="2959" t="s">
        <v>303</v>
      </c>
      <c r="B126" s="2952" t="s">
        <v>3015</v>
      </c>
      <c r="C126" s="2952">
        <v>12960</v>
      </c>
      <c r="D126" s="2952">
        <v>12890</v>
      </c>
      <c r="E126" s="2952">
        <v>15530</v>
      </c>
      <c r="F126" s="2952">
        <v>2910</v>
      </c>
      <c r="G126" s="2960">
        <v>8520</v>
      </c>
    </row>
    <row r="127" spans="1:7" s="2779" customFormat="1" ht="14.25" customHeight="1">
      <c r="A127" s="2950" t="s">
        <v>29</v>
      </c>
      <c r="B127" s="2941" t="s">
        <v>3070</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3071</v>
      </c>
      <c r="C148" s="2945">
        <v>10370</v>
      </c>
      <c r="D148" s="2945">
        <v>10310</v>
      </c>
      <c r="E148" s="2945">
        <v>12970</v>
      </c>
      <c r="F148" s="2945"/>
      <c r="G148" s="2945">
        <v>6630</v>
      </c>
    </row>
    <row r="149" spans="1:7" s="2779" customFormat="1" ht="14.25" customHeight="1">
      <c r="A149" s="2945" t="s">
        <v>29</v>
      </c>
      <c r="B149" s="2945" t="s">
        <v>3072</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2946</v>
      </c>
      <c r="C153" s="2945">
        <v>10880</v>
      </c>
      <c r="D153" s="2945">
        <v>10820</v>
      </c>
      <c r="E153" s="2945">
        <v>13660</v>
      </c>
      <c r="F153" s="2945">
        <v>2260</v>
      </c>
      <c r="G153" s="2945">
        <v>6970</v>
      </c>
    </row>
    <row r="154" spans="1:7" s="2779" customFormat="1" ht="14.25" customHeight="1">
      <c r="A154" s="2945" t="s">
        <v>29</v>
      </c>
      <c r="B154" s="2945" t="s">
        <v>3073</v>
      </c>
      <c r="C154" s="2945">
        <v>11220</v>
      </c>
      <c r="D154" s="2945">
        <v>11160</v>
      </c>
      <c r="E154" s="2945">
        <v>14130</v>
      </c>
      <c r="F154" s="2945">
        <v>2230</v>
      </c>
      <c r="G154" s="2945">
        <v>7180</v>
      </c>
    </row>
    <row r="155" spans="1:7" s="2779" customFormat="1" ht="14.25" customHeight="1">
      <c r="A155" s="2945" t="s">
        <v>29</v>
      </c>
      <c r="B155" s="2945" t="s">
        <v>2959</v>
      </c>
      <c r="C155" s="2945">
        <v>10430</v>
      </c>
      <c r="D155" s="2945">
        <v>10380</v>
      </c>
      <c r="E155" s="2945">
        <v>13140</v>
      </c>
      <c r="F155" s="2945">
        <v>2080</v>
      </c>
      <c r="G155" s="2945">
        <v>6650</v>
      </c>
    </row>
    <row r="156" spans="1:7" s="2779" customFormat="1" ht="14.25" customHeight="1">
      <c r="A156" s="2945" t="s">
        <v>29</v>
      </c>
      <c r="B156" s="2945" t="s">
        <v>3074</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3075</v>
      </c>
      <c r="C160" s="2945">
        <v>11180</v>
      </c>
      <c r="D160" s="2945">
        <v>11140</v>
      </c>
      <c r="E160" s="2945">
        <v>14050</v>
      </c>
      <c r="F160" s="2945">
        <v>2270</v>
      </c>
      <c r="G160" s="2945">
        <v>7170</v>
      </c>
    </row>
    <row r="161" spans="1:7" s="2779" customFormat="1" ht="14.25" customHeight="1">
      <c r="A161" s="2945" t="s">
        <v>29</v>
      </c>
      <c r="B161" s="2945" t="s">
        <v>2991</v>
      </c>
      <c r="C161" s="2945">
        <v>11160</v>
      </c>
      <c r="D161" s="2945">
        <v>11120</v>
      </c>
      <c r="E161" s="2945">
        <v>14020</v>
      </c>
      <c r="F161" s="2945">
        <v>2150</v>
      </c>
      <c r="G161" s="2945">
        <v>7160</v>
      </c>
    </row>
    <row r="162" spans="1:7" s="2779" customFormat="1" ht="14.25" customHeight="1">
      <c r="A162" s="2945" t="s">
        <v>29</v>
      </c>
      <c r="B162" s="2945" t="s">
        <v>2996</v>
      </c>
      <c r="C162" s="2945">
        <v>9620</v>
      </c>
      <c r="D162" s="2945">
        <v>9570</v>
      </c>
      <c r="E162" s="2945">
        <v>12320</v>
      </c>
      <c r="F162" s="2945">
        <v>2010</v>
      </c>
      <c r="G162" s="2945">
        <v>6160</v>
      </c>
    </row>
    <row r="163" spans="1:7" s="2779" customFormat="1" ht="14.25" customHeight="1">
      <c r="A163" s="2945" t="s">
        <v>29</v>
      </c>
      <c r="B163" s="2945" t="s">
        <v>3001</v>
      </c>
      <c r="C163" s="2945">
        <v>9320</v>
      </c>
      <c r="D163" s="2945">
        <v>9270</v>
      </c>
      <c r="E163" s="2945">
        <v>11790</v>
      </c>
      <c r="F163" s="2945">
        <v>1920</v>
      </c>
      <c r="G163" s="2945">
        <v>5960</v>
      </c>
    </row>
    <row r="164" spans="1:7" s="2779" customFormat="1" ht="14.25" customHeight="1">
      <c r="A164" s="2945" t="s">
        <v>29</v>
      </c>
      <c r="B164" s="2945" t="s">
        <v>3006</v>
      </c>
      <c r="C164" s="2945"/>
      <c r="D164" s="2945"/>
      <c r="E164" s="2945"/>
      <c r="F164" s="2945">
        <v>1980</v>
      </c>
      <c r="G164" s="2945"/>
    </row>
    <row r="165" spans="1:7" s="2779" customFormat="1" ht="14.25" customHeight="1">
      <c r="A165" s="2945" t="s">
        <v>29</v>
      </c>
      <c r="B165" s="2945" t="s">
        <v>3076</v>
      </c>
      <c r="C165" s="2945">
        <v>11060</v>
      </c>
      <c r="D165" s="2945">
        <v>11030</v>
      </c>
      <c r="E165" s="2945">
        <v>13850</v>
      </c>
      <c r="F165" s="2945">
        <v>2170</v>
      </c>
      <c r="G165" s="2945">
        <v>7090</v>
      </c>
    </row>
    <row r="166" spans="1:7" s="2779" customFormat="1" ht="14.25" customHeight="1">
      <c r="A166" s="2945" t="s">
        <v>29</v>
      </c>
      <c r="B166" s="2945" t="s">
        <v>3016</v>
      </c>
      <c r="C166" s="2945">
        <v>11050</v>
      </c>
      <c r="D166" s="2945">
        <v>11010</v>
      </c>
      <c r="E166" s="2945">
        <v>13920</v>
      </c>
      <c r="F166" s="2945">
        <v>2140</v>
      </c>
      <c r="G166" s="2945">
        <v>7080</v>
      </c>
    </row>
    <row r="167" spans="1:7" s="2779" customFormat="1" ht="14.25" customHeight="1">
      <c r="A167" s="2945" t="s">
        <v>29</v>
      </c>
      <c r="B167" s="2945" t="s">
        <v>3020</v>
      </c>
      <c r="C167" s="2945">
        <v>10930</v>
      </c>
      <c r="D167" s="2945">
        <v>10890</v>
      </c>
      <c r="E167" s="2945">
        <v>13790</v>
      </c>
      <c r="F167" s="2945">
        <v>2010</v>
      </c>
      <c r="G167" s="2945">
        <v>7000</v>
      </c>
    </row>
    <row r="168" spans="1:7" s="2779" customFormat="1" ht="14.25" customHeight="1">
      <c r="A168" s="2945" t="s">
        <v>29</v>
      </c>
      <c r="B168" s="2945" t="s">
        <v>3025</v>
      </c>
      <c r="C168" s="2945">
        <v>9420</v>
      </c>
      <c r="D168" s="2945">
        <v>9380</v>
      </c>
      <c r="E168" s="2945">
        <v>11970</v>
      </c>
      <c r="F168" s="2945"/>
      <c r="G168" s="2945">
        <v>6040</v>
      </c>
    </row>
    <row r="169" spans="1:7" s="2779" customFormat="1" ht="14.25" customHeight="1">
      <c r="A169" s="2945" t="s">
        <v>29</v>
      </c>
      <c r="B169" s="2945" t="s">
        <v>3077</v>
      </c>
      <c r="C169" s="2945"/>
      <c r="D169" s="2945"/>
      <c r="E169" s="2945"/>
      <c r="F169" s="2945">
        <v>2880</v>
      </c>
      <c r="G169" s="2945"/>
    </row>
    <row r="170" spans="1:7" s="2779" customFormat="1" ht="14.25" customHeight="1">
      <c r="A170" s="2945" t="s">
        <v>29</v>
      </c>
      <c r="B170" s="2945" t="s">
        <v>3033</v>
      </c>
      <c r="C170" s="2945"/>
      <c r="D170" s="2945"/>
      <c r="E170" s="2945"/>
      <c r="F170" s="2945">
        <v>2880</v>
      </c>
      <c r="G170" s="2945"/>
    </row>
    <row r="171" spans="1:7" s="2779" customFormat="1" ht="14.25" customHeight="1">
      <c r="A171" s="2945" t="s">
        <v>29</v>
      </c>
      <c r="B171" s="2945" t="s">
        <v>3036</v>
      </c>
      <c r="C171" s="2945"/>
      <c r="D171" s="2945"/>
      <c r="E171" s="2945"/>
      <c r="F171" s="2945">
        <v>2880</v>
      </c>
      <c r="G171" s="2945"/>
    </row>
    <row r="172" spans="1:7" s="2779" customFormat="1" ht="14.25" customHeight="1">
      <c r="A172" s="2945" t="s">
        <v>29</v>
      </c>
      <c r="B172" s="2945" t="s">
        <v>3038</v>
      </c>
      <c r="C172" s="2945"/>
      <c r="D172" s="2945"/>
      <c r="E172" s="2945"/>
      <c r="F172" s="2945">
        <v>2880</v>
      </c>
      <c r="G172" s="2945"/>
    </row>
    <row r="173" spans="1:7" s="2779" customFormat="1" ht="14.25" customHeight="1">
      <c r="A173" s="2945" t="s">
        <v>29</v>
      </c>
      <c r="B173" s="2945" t="s">
        <v>3040</v>
      </c>
      <c r="C173" s="2945"/>
      <c r="D173" s="2945"/>
      <c r="E173" s="2945"/>
      <c r="F173" s="2945">
        <v>2150</v>
      </c>
      <c r="G173" s="2945"/>
    </row>
    <row r="174" spans="1:7" s="2779" customFormat="1" ht="14.25" customHeight="1">
      <c r="A174" s="2945" t="s">
        <v>29</v>
      </c>
      <c r="B174" s="2945" t="s">
        <v>3042</v>
      </c>
      <c r="C174" s="2945"/>
      <c r="D174" s="2945"/>
      <c r="E174" s="2945"/>
      <c r="F174" s="2945">
        <v>2030</v>
      </c>
      <c r="G174" s="2945"/>
    </row>
    <row r="175" spans="1:7" s="2779" customFormat="1" ht="14.25" customHeight="1">
      <c r="A175" s="2945" t="s">
        <v>29</v>
      </c>
      <c r="B175" s="2945" t="s">
        <v>3044</v>
      </c>
      <c r="C175" s="2945"/>
      <c r="D175" s="2945"/>
      <c r="E175" s="2945"/>
      <c r="F175" s="2945">
        <v>2780</v>
      </c>
      <c r="G175" s="2945"/>
    </row>
    <row r="176" spans="1:7" s="2779" customFormat="1" ht="14.25" customHeight="1">
      <c r="A176" s="2945" t="s">
        <v>29</v>
      </c>
      <c r="B176" s="2945" t="s">
        <v>3046</v>
      </c>
      <c r="C176" s="2945"/>
      <c r="D176" s="2945"/>
      <c r="E176" s="2945"/>
      <c r="F176" s="2945">
        <v>2780</v>
      </c>
      <c r="G176" s="2945"/>
    </row>
    <row r="177" spans="1:7" s="2779" customFormat="1" ht="14.25" customHeight="1">
      <c r="A177" s="2945" t="s">
        <v>29</v>
      </c>
      <c r="B177" s="2945" t="s">
        <v>3078</v>
      </c>
      <c r="C177" s="2945"/>
      <c r="D177" s="2945"/>
      <c r="E177" s="2945"/>
      <c r="F177" s="2945">
        <v>2780</v>
      </c>
      <c r="G177" s="2945"/>
    </row>
    <row r="178" spans="1:7" s="2779" customFormat="1" ht="14.25" customHeight="1">
      <c r="A178" s="2945" t="s">
        <v>29</v>
      </c>
      <c r="B178" s="2945" t="s">
        <v>3079</v>
      </c>
      <c r="C178" s="2945"/>
      <c r="D178" s="2945"/>
      <c r="E178" s="2945"/>
      <c r="F178" s="2945">
        <v>2060</v>
      </c>
      <c r="G178" s="2945"/>
    </row>
    <row r="179" spans="1:7" s="2779" customFormat="1" ht="14.25" customHeight="1">
      <c r="A179" s="2945" t="s">
        <v>29</v>
      </c>
      <c r="B179" s="2945" t="s">
        <v>3080</v>
      </c>
      <c r="C179" s="2945"/>
      <c r="D179" s="2945"/>
      <c r="E179" s="2945"/>
      <c r="F179" s="2945">
        <v>2120</v>
      </c>
      <c r="G179" s="2945"/>
    </row>
    <row r="180" spans="1:7" s="2779" customFormat="1" ht="14.25" customHeight="1">
      <c r="A180" s="2945" t="s">
        <v>29</v>
      </c>
      <c r="B180" s="2945" t="s">
        <v>3052</v>
      </c>
      <c r="C180" s="2945"/>
      <c r="D180" s="2945"/>
      <c r="E180" s="2945"/>
      <c r="F180" s="2945">
        <v>2340</v>
      </c>
      <c r="G180" s="2945"/>
    </row>
    <row r="181" spans="1:7" s="2779" customFormat="1" ht="14.25" customHeight="1">
      <c r="A181" s="2945" t="s">
        <v>29</v>
      </c>
      <c r="B181" s="2945" t="s">
        <v>3053</v>
      </c>
      <c r="C181" s="2945"/>
      <c r="D181" s="2945"/>
      <c r="E181" s="2945"/>
      <c r="F181" s="2945">
        <v>2340</v>
      </c>
      <c r="G181" s="2945"/>
    </row>
    <row r="182" spans="1:7" s="2779" customFormat="1" ht="14.25" customHeight="1">
      <c r="A182" s="2945" t="s">
        <v>29</v>
      </c>
      <c r="B182" s="2945" t="s">
        <v>3054</v>
      </c>
      <c r="C182" s="2945"/>
      <c r="D182" s="2945"/>
      <c r="E182" s="2945"/>
      <c r="F182" s="2945">
        <v>2340</v>
      </c>
      <c r="G182" s="2945"/>
    </row>
    <row r="183" spans="1:7" s="2779" customFormat="1" ht="14.25" customHeight="1">
      <c r="A183" s="2945" t="s">
        <v>29</v>
      </c>
      <c r="B183" s="2945" t="s">
        <v>3055</v>
      </c>
      <c r="C183" s="2945"/>
      <c r="D183" s="2945"/>
      <c r="E183" s="2945"/>
      <c r="F183" s="2945">
        <v>2340</v>
      </c>
      <c r="G183" s="2945"/>
    </row>
    <row r="184" spans="1:7" s="2779" customFormat="1" ht="14.25" customHeight="1">
      <c r="A184" s="2945" t="s">
        <v>29</v>
      </c>
      <c r="B184" s="2945" t="s">
        <v>3056</v>
      </c>
      <c r="C184" s="2945"/>
      <c r="D184" s="2945"/>
      <c r="E184" s="2945"/>
      <c r="F184" s="2945">
        <v>2340</v>
      </c>
      <c r="G184" s="2945"/>
    </row>
    <row r="185" spans="1:7" s="2779" customFormat="1" ht="14.25" customHeight="1">
      <c r="A185" s="2945" t="s">
        <v>29</v>
      </c>
      <c r="B185" s="2945" t="s">
        <v>3057</v>
      </c>
      <c r="C185" s="2945"/>
      <c r="D185" s="2945"/>
      <c r="E185" s="2945"/>
      <c r="F185" s="2945">
        <v>2530</v>
      </c>
      <c r="G185" s="2945"/>
    </row>
    <row r="186" spans="1:7" s="2779" customFormat="1" ht="14.25" customHeight="1">
      <c r="A186" s="2945" t="s">
        <v>29</v>
      </c>
      <c r="B186" s="2945" t="s">
        <v>3058</v>
      </c>
      <c r="C186" s="2945"/>
      <c r="D186" s="2945"/>
      <c r="E186" s="2945"/>
      <c r="F186" s="2945">
        <v>2550</v>
      </c>
      <c r="G186" s="2945"/>
    </row>
    <row r="187" spans="1:7" s="2779" customFormat="1" ht="14.25" customHeight="1">
      <c r="A187" s="2945" t="s">
        <v>29</v>
      </c>
      <c r="B187" s="2945" t="s">
        <v>3059</v>
      </c>
      <c r="C187" s="2945"/>
      <c r="D187" s="2945"/>
      <c r="E187" s="2945"/>
      <c r="F187" s="2945">
        <v>2070</v>
      </c>
      <c r="G187" s="2945"/>
    </row>
    <row r="188" spans="1:7" s="2779" customFormat="1" ht="14.25" customHeight="1">
      <c r="A188" s="2945" t="s">
        <v>29</v>
      </c>
      <c r="B188" s="2945" t="s">
        <v>3060</v>
      </c>
      <c r="C188" s="2945"/>
      <c r="D188" s="2945"/>
      <c r="E188" s="2945"/>
      <c r="F188" s="2945">
        <v>2340</v>
      </c>
      <c r="G188" s="2945"/>
    </row>
    <row r="189" spans="1:7" s="2779" customFormat="1" ht="14.25" customHeight="1" thickBot="1">
      <c r="A189" s="2953" t="s">
        <v>29</v>
      </c>
      <c r="B189" s="2956" t="s">
        <v>3061</v>
      </c>
      <c r="C189" s="2956"/>
      <c r="D189" s="2956"/>
      <c r="E189" s="2956"/>
      <c r="F189" s="2956">
        <v>2050</v>
      </c>
      <c r="G189" s="2956"/>
    </row>
    <row r="190" spans="1:7" s="2779" customFormat="1" ht="14.25" customHeight="1">
      <c r="A190" s="2950" t="s">
        <v>304</v>
      </c>
      <c r="B190" s="2941" t="s">
        <v>3081</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3082</v>
      </c>
      <c r="C199" s="2945">
        <v>8690</v>
      </c>
      <c r="D199" s="2945">
        <v>8630</v>
      </c>
      <c r="E199" s="2945">
        <v>11350</v>
      </c>
      <c r="F199" s="2945">
        <v>1600</v>
      </c>
      <c r="G199" s="2958">
        <v>5450</v>
      </c>
    </row>
    <row r="200" spans="1:7" s="2779" customFormat="1" ht="14.25" customHeight="1">
      <c r="A200" s="2945" t="s">
        <v>304</v>
      </c>
      <c r="B200" s="2945" t="s">
        <v>2893</v>
      </c>
      <c r="C200" s="2945"/>
      <c r="D200" s="2945"/>
      <c r="E200" s="2945"/>
      <c r="F200" s="2945">
        <v>1510</v>
      </c>
      <c r="G200" s="2958"/>
    </row>
    <row r="201" spans="1:7" s="2779" customFormat="1" ht="14.25" customHeight="1">
      <c r="A201" s="2945" t="s">
        <v>304</v>
      </c>
      <c r="B201" s="2945" t="s">
        <v>3083</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3084</v>
      </c>
      <c r="C203" s="2945">
        <v>8130</v>
      </c>
      <c r="D203" s="2945">
        <v>8070</v>
      </c>
      <c r="E203" s="2945">
        <v>10820</v>
      </c>
      <c r="F203" s="2945">
        <v>1690</v>
      </c>
      <c r="G203" s="2958">
        <v>5100</v>
      </c>
    </row>
    <row r="204" spans="1:7" s="2779" customFormat="1" ht="14.25" customHeight="1">
      <c r="A204" s="2945" t="s">
        <v>304</v>
      </c>
      <c r="B204" s="2945" t="s">
        <v>2904</v>
      </c>
      <c r="C204" s="2945">
        <v>8350</v>
      </c>
      <c r="D204" s="2945">
        <v>8290</v>
      </c>
      <c r="E204" s="2945">
        <v>11080</v>
      </c>
      <c r="F204" s="2945">
        <v>1450</v>
      </c>
      <c r="G204" s="2958">
        <v>5240</v>
      </c>
    </row>
    <row r="205" spans="1:7" s="2779" customFormat="1" ht="14.25" customHeight="1">
      <c r="A205" s="2945" t="s">
        <v>304</v>
      </c>
      <c r="B205" s="2945" t="s">
        <v>2906</v>
      </c>
      <c r="C205" s="2945">
        <v>7190</v>
      </c>
      <c r="D205" s="2945">
        <v>7130</v>
      </c>
      <c r="E205" s="2945">
        <v>9490</v>
      </c>
      <c r="F205" s="2945">
        <v>1470</v>
      </c>
      <c r="G205" s="2958">
        <v>4510</v>
      </c>
    </row>
    <row r="206" spans="1:7" s="2779" customFormat="1" ht="14.25" customHeight="1">
      <c r="A206" s="2945" t="s">
        <v>304</v>
      </c>
      <c r="B206" s="2945" t="s">
        <v>2909</v>
      </c>
      <c r="C206" s="2945">
        <v>7000</v>
      </c>
      <c r="D206" s="2945">
        <v>6950</v>
      </c>
      <c r="E206" s="2945">
        <v>9170</v>
      </c>
      <c r="F206" s="2945">
        <v>1400</v>
      </c>
      <c r="G206" s="2958">
        <v>4380</v>
      </c>
    </row>
    <row r="207" spans="1:7" s="2779" customFormat="1" ht="14.25" customHeight="1">
      <c r="A207" s="2945" t="s">
        <v>304</v>
      </c>
      <c r="B207" s="2945" t="s">
        <v>2911</v>
      </c>
      <c r="C207" s="2945">
        <v>6950</v>
      </c>
      <c r="D207" s="2945">
        <v>6900</v>
      </c>
      <c r="E207" s="2945">
        <v>9110</v>
      </c>
      <c r="F207" s="2945">
        <v>1790</v>
      </c>
      <c r="G207" s="2958">
        <v>4360</v>
      </c>
    </row>
    <row r="208" spans="1:7" s="2779" customFormat="1" ht="14.25" customHeight="1">
      <c r="A208" s="2945" t="s">
        <v>304</v>
      </c>
      <c r="B208" s="2945" t="s">
        <v>3085</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2921</v>
      </c>
      <c r="C210" s="2945">
        <v>8710</v>
      </c>
      <c r="D210" s="2945">
        <v>8660</v>
      </c>
      <c r="E210" s="2945">
        <v>11440</v>
      </c>
      <c r="F210" s="2945">
        <v>1740</v>
      </c>
      <c r="G210" s="2958">
        <v>5470</v>
      </c>
    </row>
    <row r="211" spans="1:7" s="2779" customFormat="1" ht="14.25" customHeight="1">
      <c r="A211" s="2945" t="s">
        <v>304</v>
      </c>
      <c r="B211" s="2945" t="s">
        <v>3086</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3087</v>
      </c>
      <c r="C214" s="2945">
        <v>8090</v>
      </c>
      <c r="D214" s="2945">
        <v>8030</v>
      </c>
      <c r="E214" s="2945">
        <v>10780</v>
      </c>
      <c r="F214" s="2945">
        <v>1570</v>
      </c>
      <c r="G214" s="2958">
        <v>5070</v>
      </c>
    </row>
    <row r="215" spans="1:7" s="2779" customFormat="1" ht="14.25" customHeight="1">
      <c r="A215" s="2945" t="s">
        <v>304</v>
      </c>
      <c r="B215" s="2945" t="s">
        <v>3088</v>
      </c>
      <c r="C215" s="2945">
        <v>7950</v>
      </c>
      <c r="D215" s="2945">
        <v>7900</v>
      </c>
      <c r="E215" s="2945">
        <v>10560</v>
      </c>
      <c r="F215" s="2945">
        <v>1630</v>
      </c>
      <c r="G215" s="2958">
        <v>4990</v>
      </c>
    </row>
    <row r="216" spans="1:7" s="2779" customFormat="1" ht="14.25" customHeight="1">
      <c r="A216" s="2945" t="s">
        <v>304</v>
      </c>
      <c r="B216" s="2945" t="s">
        <v>3089</v>
      </c>
      <c r="C216" s="2945">
        <v>8490</v>
      </c>
      <c r="D216" s="2945">
        <v>8440</v>
      </c>
      <c r="E216" s="2945">
        <v>11260</v>
      </c>
      <c r="F216" s="2945">
        <v>1690</v>
      </c>
      <c r="G216" s="2958">
        <v>5330</v>
      </c>
    </row>
    <row r="217" spans="1:7" s="2779" customFormat="1" ht="14.25" customHeight="1">
      <c r="A217" s="2945" t="s">
        <v>304</v>
      </c>
      <c r="B217" s="2945" t="s">
        <v>2954</v>
      </c>
      <c r="C217" s="2945">
        <v>8200</v>
      </c>
      <c r="D217" s="2945">
        <v>8150</v>
      </c>
      <c r="E217" s="2945">
        <v>10910</v>
      </c>
      <c r="F217" s="2945">
        <v>1670</v>
      </c>
      <c r="G217" s="2958">
        <v>5150</v>
      </c>
    </row>
    <row r="218" spans="1:7" s="2779" customFormat="1" ht="14.25" customHeight="1">
      <c r="A218" s="2945" t="s">
        <v>304</v>
      </c>
      <c r="B218" s="2945" t="s">
        <v>3090</v>
      </c>
      <c r="C218" s="2945"/>
      <c r="D218" s="2945"/>
      <c r="E218" s="2945"/>
      <c r="F218" s="2945">
        <v>2040</v>
      </c>
      <c r="G218" s="2958"/>
    </row>
    <row r="219" spans="1:7" s="2779" customFormat="1" ht="14.25" customHeight="1">
      <c r="A219" s="2945" t="s">
        <v>304</v>
      </c>
      <c r="B219" s="2945" t="s">
        <v>3091</v>
      </c>
      <c r="C219" s="2945"/>
      <c r="D219" s="2945"/>
      <c r="E219" s="2945"/>
      <c r="F219" s="2945">
        <v>2040</v>
      </c>
      <c r="G219" s="2958"/>
    </row>
    <row r="220" spans="1:7" s="2779" customFormat="1" ht="14.25" customHeight="1">
      <c r="A220" s="2945" t="s">
        <v>304</v>
      </c>
      <c r="B220" s="2945" t="s">
        <v>3092</v>
      </c>
      <c r="C220" s="2945"/>
      <c r="D220" s="2945"/>
      <c r="E220" s="2945"/>
      <c r="F220" s="2945">
        <v>2040</v>
      </c>
      <c r="G220" s="2958"/>
    </row>
    <row r="221" spans="1:7" s="2779" customFormat="1" ht="14.25" customHeight="1">
      <c r="A221" s="2945" t="s">
        <v>304</v>
      </c>
      <c r="B221" s="2945" t="s">
        <v>3093</v>
      </c>
      <c r="C221" s="2945"/>
      <c r="D221" s="2945"/>
      <c r="E221" s="2945"/>
      <c r="F221" s="2945">
        <v>2040</v>
      </c>
      <c r="G221" s="2958"/>
    </row>
    <row r="222" spans="1:7" s="2779" customFormat="1" ht="14.25" customHeight="1">
      <c r="A222" s="2945" t="s">
        <v>304</v>
      </c>
      <c r="B222" s="2945" t="s">
        <v>3094</v>
      </c>
      <c r="C222" s="2945"/>
      <c r="D222" s="2945"/>
      <c r="E222" s="2945"/>
      <c r="F222" s="2945">
        <v>2040</v>
      </c>
      <c r="G222" s="2958"/>
    </row>
    <row r="223" spans="1:7" s="2779" customFormat="1" ht="14.25" customHeight="1">
      <c r="A223" s="2945" t="s">
        <v>304</v>
      </c>
      <c r="B223" s="2945" t="s">
        <v>3095</v>
      </c>
      <c r="C223" s="2945"/>
      <c r="D223" s="2945"/>
      <c r="E223" s="2945"/>
      <c r="F223" s="2945">
        <v>1930</v>
      </c>
      <c r="G223" s="2958"/>
    </row>
    <row r="224" spans="1:7" s="2779" customFormat="1" ht="14.25" customHeight="1">
      <c r="A224" s="2945" t="s">
        <v>304</v>
      </c>
      <c r="B224" s="2945" t="s">
        <v>3096</v>
      </c>
      <c r="C224" s="2945"/>
      <c r="D224" s="2945"/>
      <c r="E224" s="2945"/>
      <c r="F224" s="2945">
        <v>1930</v>
      </c>
      <c r="G224" s="2958"/>
    </row>
    <row r="225" spans="1:7" s="2779" customFormat="1" ht="14.25" customHeight="1">
      <c r="A225" s="2945" t="s">
        <v>304</v>
      </c>
      <c r="B225" s="2945" t="s">
        <v>3097</v>
      </c>
      <c r="C225" s="2945"/>
      <c r="D225" s="2945"/>
      <c r="E225" s="2945"/>
      <c r="F225" s="2945">
        <v>1930</v>
      </c>
      <c r="G225" s="2958"/>
    </row>
    <row r="226" spans="1:7" s="2779" customFormat="1" ht="14.25" customHeight="1">
      <c r="A226" s="2945" t="s">
        <v>304</v>
      </c>
      <c r="B226" s="2945" t="s">
        <v>3098</v>
      </c>
      <c r="C226" s="2945"/>
      <c r="D226" s="2945"/>
      <c r="E226" s="2945"/>
      <c r="F226" s="2945">
        <v>1700</v>
      </c>
      <c r="G226" s="2958"/>
    </row>
    <row r="227" spans="1:7" s="2779" customFormat="1" ht="14.25" customHeight="1">
      <c r="A227" s="2945" t="s">
        <v>304</v>
      </c>
      <c r="B227" s="2945" t="s">
        <v>3099</v>
      </c>
      <c r="C227" s="2945"/>
      <c r="D227" s="2945"/>
      <c r="E227" s="2945"/>
      <c r="F227" s="2945">
        <v>1520</v>
      </c>
      <c r="G227" s="2958"/>
    </row>
    <row r="228" spans="1:7" s="2779" customFormat="1" ht="14.25" customHeight="1">
      <c r="A228" s="2945" t="s">
        <v>304</v>
      </c>
      <c r="B228" s="2945" t="s">
        <v>3100</v>
      </c>
      <c r="C228" s="2945"/>
      <c r="D228" s="2945"/>
      <c r="E228" s="2945"/>
      <c r="F228" s="2945">
        <v>1520</v>
      </c>
      <c r="G228" s="2958"/>
    </row>
    <row r="229" spans="1:7" s="2779" customFormat="1" ht="14.25" customHeight="1">
      <c r="A229" s="2945" t="s">
        <v>304</v>
      </c>
      <c r="B229" s="2945" t="s">
        <v>3017</v>
      </c>
      <c r="C229" s="2945"/>
      <c r="D229" s="2945"/>
      <c r="E229" s="2945"/>
      <c r="F229" s="2945">
        <v>1520</v>
      </c>
      <c r="G229" s="2958"/>
    </row>
    <row r="230" spans="1:7" s="2779" customFormat="1" ht="14.25" customHeight="1">
      <c r="A230" s="2945" t="s">
        <v>304</v>
      </c>
      <c r="B230" s="2945" t="s">
        <v>3101</v>
      </c>
      <c r="C230" s="2945"/>
      <c r="D230" s="2945"/>
      <c r="E230" s="2945"/>
      <c r="F230" s="2945">
        <v>1820</v>
      </c>
      <c r="G230" s="2958"/>
    </row>
    <row r="231" spans="1:7" s="2779" customFormat="1" ht="14.25" customHeight="1">
      <c r="A231" s="2945" t="s">
        <v>304</v>
      </c>
      <c r="B231" s="2945" t="s">
        <v>3102</v>
      </c>
      <c r="C231" s="2945"/>
      <c r="D231" s="2945"/>
      <c r="E231" s="2945"/>
      <c r="F231" s="2945">
        <v>1760</v>
      </c>
      <c r="G231" s="2958"/>
    </row>
    <row r="232" spans="1:7" s="2779" customFormat="1" ht="14.25" customHeight="1">
      <c r="A232" s="2945" t="s">
        <v>304</v>
      </c>
      <c r="B232" s="2945" t="s">
        <v>3103</v>
      </c>
      <c r="C232" s="2945"/>
      <c r="D232" s="2945"/>
      <c r="E232" s="2945"/>
      <c r="F232" s="2945">
        <v>1840</v>
      </c>
      <c r="G232" s="2958"/>
    </row>
    <row r="233" spans="1:7" s="2779" customFormat="1" ht="14.25" customHeight="1" thickBot="1">
      <c r="A233" s="2959" t="s">
        <v>304</v>
      </c>
      <c r="B233" s="2952" t="s">
        <v>3034</v>
      </c>
      <c r="C233" s="2952"/>
      <c r="D233" s="2952"/>
      <c r="E233" s="2952"/>
      <c r="F233" s="2952">
        <v>1770</v>
      </c>
      <c r="G233" s="2960"/>
    </row>
    <row r="234" spans="1:7" s="2779" customFormat="1" ht="14.25" customHeight="1">
      <c r="A234" s="2950" t="s">
        <v>305</v>
      </c>
      <c r="B234" s="2941" t="s">
        <v>3104</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2875</v>
      </c>
      <c r="C238" s="2945">
        <v>6920</v>
      </c>
      <c r="D238" s="2945">
        <v>6890</v>
      </c>
      <c r="E238" s="2945">
        <v>8640</v>
      </c>
      <c r="F238" s="2945">
        <v>1310</v>
      </c>
      <c r="G238" s="2945">
        <v>4230</v>
      </c>
    </row>
    <row r="239" spans="1:7" s="2779" customFormat="1" ht="14.25" customHeight="1">
      <c r="A239" s="2945" t="s">
        <v>305</v>
      </c>
      <c r="B239" s="2945" t="s">
        <v>3105</v>
      </c>
      <c r="C239" s="2945">
        <v>6780</v>
      </c>
      <c r="D239" s="2945">
        <v>6750</v>
      </c>
      <c r="E239" s="2945">
        <v>8440</v>
      </c>
      <c r="F239" s="2945">
        <v>1160</v>
      </c>
      <c r="G239" s="2945">
        <v>4140</v>
      </c>
    </row>
    <row r="240" spans="1:7" s="2779" customFormat="1" ht="14.25" customHeight="1">
      <c r="A240" s="2945" t="s">
        <v>305</v>
      </c>
      <c r="B240" s="2945" t="s">
        <v>3106</v>
      </c>
      <c r="C240" s="2945">
        <v>5420</v>
      </c>
      <c r="D240" s="2945">
        <v>5380</v>
      </c>
      <c r="E240" s="2945">
        <v>6640</v>
      </c>
      <c r="F240" s="2945">
        <v>1020</v>
      </c>
      <c r="G240" s="2945">
        <v>3300</v>
      </c>
    </row>
    <row r="241" spans="1:7" s="2779" customFormat="1" ht="14.25" customHeight="1">
      <c r="A241" s="2945" t="s">
        <v>305</v>
      </c>
      <c r="B241" s="2945" t="s">
        <v>3107</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3108</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3109</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3110</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3111</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3112</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2937</v>
      </c>
      <c r="C258" s="2945">
        <v>6190</v>
      </c>
      <c r="D258" s="2945">
        <v>6160</v>
      </c>
      <c r="E258" s="2945">
        <v>7680</v>
      </c>
      <c r="F258" s="2945">
        <v>1170</v>
      </c>
      <c r="G258" s="2945">
        <v>3780</v>
      </c>
    </row>
    <row r="259" spans="1:7" s="2779" customFormat="1" ht="14.25" customHeight="1">
      <c r="A259" s="2945" t="s">
        <v>305</v>
      </c>
      <c r="B259" s="2945" t="s">
        <v>3113</v>
      </c>
      <c r="C259" s="2945">
        <v>7610</v>
      </c>
      <c r="D259" s="2945">
        <v>7570</v>
      </c>
      <c r="E259" s="2945">
        <v>9350</v>
      </c>
      <c r="F259" s="2945">
        <v>1350</v>
      </c>
      <c r="G259" s="2945">
        <v>4650</v>
      </c>
    </row>
    <row r="260" spans="1:7" s="2779" customFormat="1" ht="14.25" customHeight="1">
      <c r="A260" s="2945" t="s">
        <v>305</v>
      </c>
      <c r="B260" s="2945" t="s">
        <v>3114</v>
      </c>
      <c r="C260" s="2945">
        <v>6920</v>
      </c>
      <c r="D260" s="2945">
        <v>6880</v>
      </c>
      <c r="E260" s="2945">
        <v>8380</v>
      </c>
      <c r="F260" s="2945">
        <v>1160</v>
      </c>
      <c r="G260" s="2945">
        <v>4220</v>
      </c>
    </row>
    <row r="261" spans="1:7" s="2779" customFormat="1" ht="14.25" customHeight="1">
      <c r="A261" s="2945" t="s">
        <v>305</v>
      </c>
      <c r="B261" s="2945" t="s">
        <v>3115</v>
      </c>
      <c r="C261" s="2945">
        <v>6850</v>
      </c>
      <c r="D261" s="2945">
        <v>6810</v>
      </c>
      <c r="E261" s="2945">
        <v>8290</v>
      </c>
      <c r="F261" s="2945">
        <v>1130</v>
      </c>
      <c r="G261" s="2945">
        <v>4180</v>
      </c>
    </row>
    <row r="262" spans="1:7" s="2779" customFormat="1" ht="14.25" customHeight="1">
      <c r="A262" s="2945" t="s">
        <v>305</v>
      </c>
      <c r="B262" s="2945" t="s">
        <v>3116</v>
      </c>
      <c r="C262" s="2945">
        <v>5860</v>
      </c>
      <c r="D262" s="2945">
        <v>5820</v>
      </c>
      <c r="E262" s="2945">
        <v>7640</v>
      </c>
      <c r="F262" s="2945">
        <v>1070</v>
      </c>
      <c r="G262" s="2945">
        <v>3570</v>
      </c>
    </row>
    <row r="263" spans="1:7" s="2779" customFormat="1" ht="14.25" customHeight="1">
      <c r="A263" s="2945" t="s">
        <v>305</v>
      </c>
      <c r="B263" s="2945" t="s">
        <v>3117</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3118</v>
      </c>
      <c r="C265" s="2945"/>
      <c r="D265" s="2945"/>
      <c r="E265" s="2945"/>
      <c r="F265" s="2945">
        <v>1500</v>
      </c>
      <c r="G265" s="2945"/>
    </row>
    <row r="266" spans="1:7" s="2779" customFormat="1" ht="14.25" customHeight="1">
      <c r="A266" s="2945" t="s">
        <v>305</v>
      </c>
      <c r="B266" s="2945" t="s">
        <v>3119</v>
      </c>
      <c r="C266" s="2945"/>
      <c r="D266" s="2945"/>
      <c r="E266" s="2945"/>
      <c r="F266" s="2945">
        <v>1500</v>
      </c>
      <c r="G266" s="2945"/>
    </row>
    <row r="267" spans="1:7" s="2779" customFormat="1" ht="14.25" customHeight="1">
      <c r="A267" s="2945" t="s">
        <v>305</v>
      </c>
      <c r="B267" s="2945" t="s">
        <v>3120</v>
      </c>
      <c r="C267" s="2945"/>
      <c r="D267" s="2945"/>
      <c r="E267" s="2945"/>
      <c r="F267" s="2945">
        <v>1500</v>
      </c>
      <c r="G267" s="2945"/>
    </row>
    <row r="268" spans="1:7" s="2779" customFormat="1" ht="14.25" customHeight="1">
      <c r="A268" s="2945" t="s">
        <v>305</v>
      </c>
      <c r="B268" s="2945" t="s">
        <v>3121</v>
      </c>
      <c r="C268" s="2945"/>
      <c r="D268" s="2945"/>
      <c r="E268" s="2945"/>
      <c r="F268" s="2945">
        <v>1290</v>
      </c>
      <c r="G268" s="2945"/>
    </row>
    <row r="269" spans="1:7" s="2779" customFormat="1" ht="14.25" customHeight="1">
      <c r="A269" s="2945" t="s">
        <v>305</v>
      </c>
      <c r="B269" s="2945" t="s">
        <v>3122</v>
      </c>
      <c r="C269" s="2945"/>
      <c r="D269" s="2945"/>
      <c r="E269" s="2945"/>
      <c r="F269" s="2945">
        <v>1150</v>
      </c>
      <c r="G269" s="2945"/>
    </row>
    <row r="270" spans="1:7" s="2779" customFormat="1" ht="14.25" customHeight="1">
      <c r="A270" s="2945" t="s">
        <v>305</v>
      </c>
      <c r="B270" s="2945" t="s">
        <v>3123</v>
      </c>
      <c r="C270" s="2945"/>
      <c r="D270" s="2945"/>
      <c r="E270" s="2945"/>
      <c r="F270" s="2945">
        <v>1380</v>
      </c>
      <c r="G270" s="2945"/>
    </row>
    <row r="271" spans="1:7" s="2779" customFormat="1" ht="14.25" customHeight="1">
      <c r="A271" s="2945" t="s">
        <v>305</v>
      </c>
      <c r="B271" s="2945" t="s">
        <v>3124</v>
      </c>
      <c r="C271" s="2945"/>
      <c r="D271" s="2945"/>
      <c r="E271" s="2945"/>
      <c r="F271" s="2945">
        <v>1460</v>
      </c>
      <c r="G271" s="2945"/>
    </row>
    <row r="272" spans="1:7" s="2779" customFormat="1" ht="14.25" customHeight="1">
      <c r="A272" s="2945" t="s">
        <v>305</v>
      </c>
      <c r="B272" s="2945" t="s">
        <v>3125</v>
      </c>
      <c r="C272" s="2945"/>
      <c r="D272" s="2945"/>
      <c r="E272" s="2945"/>
      <c r="F272" s="2945">
        <v>1460</v>
      </c>
      <c r="G272" s="2945"/>
    </row>
    <row r="273" spans="1:7" s="2779" customFormat="1" ht="14.25" customHeight="1">
      <c r="A273" s="2945" t="s">
        <v>305</v>
      </c>
      <c r="B273" s="2945" t="s">
        <v>3018</v>
      </c>
      <c r="C273" s="2945"/>
      <c r="D273" s="2945"/>
      <c r="E273" s="2945"/>
      <c r="F273" s="2945">
        <v>1490</v>
      </c>
      <c r="G273" s="2945"/>
    </row>
    <row r="274" spans="1:7" s="2779" customFormat="1" ht="14.25" customHeight="1">
      <c r="A274" s="2945" t="s">
        <v>305</v>
      </c>
      <c r="B274" s="2945" t="s">
        <v>3126</v>
      </c>
      <c r="C274" s="2945"/>
      <c r="D274" s="2945"/>
      <c r="E274" s="2945"/>
      <c r="F274" s="2945">
        <v>1490</v>
      </c>
      <c r="G274" s="2945"/>
    </row>
    <row r="275" spans="1:7" s="2779" customFormat="1" ht="14.25" customHeight="1">
      <c r="A275" s="2945" t="s">
        <v>305</v>
      </c>
      <c r="B275" s="2945" t="s">
        <v>3127</v>
      </c>
      <c r="C275" s="2945"/>
      <c r="D275" s="2945"/>
      <c r="E275" s="2945"/>
      <c r="F275" s="2945">
        <v>1220</v>
      </c>
      <c r="G275" s="2945"/>
    </row>
    <row r="276" spans="1:7" s="2779" customFormat="1" ht="14.25" customHeight="1" thickBot="1">
      <c r="A276" s="2953" t="s">
        <v>305</v>
      </c>
      <c r="B276" s="2955" t="s">
        <v>3128</v>
      </c>
      <c r="C276" s="2956"/>
      <c r="D276" s="2956"/>
      <c r="E276" s="2956"/>
      <c r="F276" s="2956">
        <v>1380</v>
      </c>
      <c r="G276" s="2956"/>
    </row>
    <row r="277" spans="1:7" s="2779" customFormat="1" ht="14.25" customHeight="1">
      <c r="A277" s="2950" t="s">
        <v>306</v>
      </c>
      <c r="B277" s="2941" t="s">
        <v>3129</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3130</v>
      </c>
      <c r="C279" s="2945">
        <v>4760</v>
      </c>
      <c r="D279" s="2945">
        <v>4720</v>
      </c>
      <c r="E279" s="2945">
        <v>5540</v>
      </c>
      <c r="F279" s="2945">
        <v>810</v>
      </c>
      <c r="G279" s="2958">
        <v>2850</v>
      </c>
    </row>
    <row r="280" spans="1:7" s="2779" customFormat="1" ht="14.25" customHeight="1">
      <c r="A280" s="2945" t="s">
        <v>306</v>
      </c>
      <c r="B280" s="2945" t="s">
        <v>3131</v>
      </c>
      <c r="C280" s="2945">
        <v>4010</v>
      </c>
      <c r="D280" s="2945">
        <v>3950</v>
      </c>
      <c r="E280" s="2945">
        <v>4710</v>
      </c>
      <c r="F280" s="2945">
        <v>800</v>
      </c>
      <c r="G280" s="2958">
        <v>2390</v>
      </c>
    </row>
    <row r="281" spans="1:7" s="2779" customFormat="1" ht="14.25" customHeight="1">
      <c r="A281" s="2945" t="s">
        <v>306</v>
      </c>
      <c r="B281" s="2945" t="s">
        <v>3132</v>
      </c>
      <c r="C281" s="2945">
        <v>4480</v>
      </c>
      <c r="D281" s="2945">
        <v>4420</v>
      </c>
      <c r="E281" s="2945">
        <v>5230</v>
      </c>
      <c r="F281" s="2945">
        <v>870</v>
      </c>
      <c r="G281" s="2958">
        <v>2660</v>
      </c>
    </row>
    <row r="282" spans="1:7" s="2779" customFormat="1" ht="14.25" customHeight="1">
      <c r="A282" s="2945" t="s">
        <v>306</v>
      </c>
      <c r="B282" s="2945" t="s">
        <v>3133</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3134</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3135</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2910</v>
      </c>
      <c r="C293" s="2945">
        <v>5320</v>
      </c>
      <c r="D293" s="2945">
        <v>5270</v>
      </c>
      <c r="E293" s="2945">
        <v>6160</v>
      </c>
      <c r="F293" s="2945">
        <v>990</v>
      </c>
      <c r="G293" s="2958">
        <v>3170</v>
      </c>
    </row>
    <row r="294" spans="1:7" s="2779" customFormat="1" ht="14.25" customHeight="1">
      <c r="A294" s="2945" t="s">
        <v>306</v>
      </c>
      <c r="B294" s="2945" t="s">
        <v>3136</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2929</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3137</v>
      </c>
      <c r="C302" s="2945">
        <v>5520</v>
      </c>
      <c r="D302" s="2945">
        <v>5470</v>
      </c>
      <c r="E302" s="2945">
        <v>6410</v>
      </c>
      <c r="F302" s="2945">
        <v>950</v>
      </c>
      <c r="G302" s="2958">
        <v>3300</v>
      </c>
    </row>
    <row r="303" spans="1:7" s="2779" customFormat="1" ht="14.25" customHeight="1">
      <c r="A303" s="2945" t="s">
        <v>306</v>
      </c>
      <c r="B303" s="2945" t="s">
        <v>2949</v>
      </c>
      <c r="C303" s="2945">
        <v>5630</v>
      </c>
      <c r="D303" s="2945">
        <v>5590</v>
      </c>
      <c r="E303" s="2945">
        <v>6550</v>
      </c>
      <c r="F303" s="2945">
        <v>1010</v>
      </c>
      <c r="G303" s="2958">
        <v>3370</v>
      </c>
    </row>
    <row r="304" spans="1:7" s="2779" customFormat="1" ht="14.25" customHeight="1">
      <c r="A304" s="2945" t="s">
        <v>306</v>
      </c>
      <c r="B304" s="2945" t="s">
        <v>2956</v>
      </c>
      <c r="C304" s="2945">
        <v>5680</v>
      </c>
      <c r="D304" s="2945">
        <v>5620</v>
      </c>
      <c r="E304" s="2945">
        <v>6620</v>
      </c>
      <c r="F304" s="2945">
        <v>1050</v>
      </c>
      <c r="G304" s="2958">
        <v>3390</v>
      </c>
    </row>
    <row r="305" spans="1:7" s="2779" customFormat="1" ht="14.25" customHeight="1">
      <c r="A305" s="2945" t="s">
        <v>306</v>
      </c>
      <c r="B305" s="2945" t="s">
        <v>2962</v>
      </c>
      <c r="C305" s="2945">
        <v>5590</v>
      </c>
      <c r="D305" s="2945">
        <v>5530</v>
      </c>
      <c r="E305" s="2945">
        <v>6460</v>
      </c>
      <c r="F305" s="2945">
        <v>900</v>
      </c>
      <c r="G305" s="2958">
        <v>3340</v>
      </c>
    </row>
    <row r="306" spans="1:7" s="2779" customFormat="1" ht="14.25" customHeight="1">
      <c r="A306" s="2945" t="s">
        <v>306</v>
      </c>
      <c r="B306" s="2945" t="s">
        <v>3138</v>
      </c>
      <c r="C306" s="2945">
        <v>5560</v>
      </c>
      <c r="D306" s="2945">
        <v>5510</v>
      </c>
      <c r="E306" s="2945">
        <v>6440</v>
      </c>
      <c r="F306" s="2945">
        <v>900</v>
      </c>
      <c r="G306" s="2958">
        <v>3320</v>
      </c>
    </row>
    <row r="307" spans="1:7" s="2779" customFormat="1" ht="14.25" customHeight="1">
      <c r="A307" s="2945" t="s">
        <v>306</v>
      </c>
      <c r="B307" s="2945" t="s">
        <v>2974</v>
      </c>
      <c r="C307" s="2945">
        <v>5650</v>
      </c>
      <c r="D307" s="2945">
        <v>5600</v>
      </c>
      <c r="E307" s="2945">
        <v>6590</v>
      </c>
      <c r="F307" s="2945">
        <v>930</v>
      </c>
      <c r="G307" s="2958">
        <v>3380</v>
      </c>
    </row>
    <row r="308" spans="1:7" s="2779" customFormat="1" ht="14.25" customHeight="1">
      <c r="A308" s="2945" t="s">
        <v>306</v>
      </c>
      <c r="B308" s="2945" t="s">
        <v>3139</v>
      </c>
      <c r="C308" s="2945">
        <v>5620</v>
      </c>
      <c r="D308" s="2945">
        <v>5580</v>
      </c>
      <c r="E308" s="2945">
        <v>6540</v>
      </c>
      <c r="F308" s="2945">
        <v>910</v>
      </c>
      <c r="G308" s="2958">
        <v>3370</v>
      </c>
    </row>
    <row r="309" spans="1:7" s="2779" customFormat="1" ht="14.25" customHeight="1">
      <c r="A309" s="2945" t="s">
        <v>306</v>
      </c>
      <c r="B309" s="2945" t="s">
        <v>3140</v>
      </c>
      <c r="C309" s="2945">
        <v>5060</v>
      </c>
      <c r="D309" s="2945">
        <v>5020</v>
      </c>
      <c r="E309" s="2945">
        <v>6370</v>
      </c>
      <c r="F309" s="2945">
        <v>800</v>
      </c>
      <c r="G309" s="2958">
        <v>3020</v>
      </c>
    </row>
    <row r="310" spans="1:7" s="2779" customFormat="1" ht="14.25" customHeight="1">
      <c r="A310" s="2945" t="s">
        <v>306</v>
      </c>
      <c r="B310" s="2945" t="s">
        <v>2989</v>
      </c>
      <c r="C310" s="2945">
        <v>5150</v>
      </c>
      <c r="D310" s="2945">
        <v>5110</v>
      </c>
      <c r="E310" s="2945">
        <v>6500</v>
      </c>
      <c r="F310" s="2945">
        <v>880</v>
      </c>
      <c r="G310" s="2958">
        <v>3080</v>
      </c>
    </row>
    <row r="311" spans="1:7" s="2779" customFormat="1" ht="14.25" customHeight="1">
      <c r="A311" s="2945" t="s">
        <v>306</v>
      </c>
      <c r="B311" s="2945" t="s">
        <v>3141</v>
      </c>
      <c r="C311" s="2945">
        <v>4750</v>
      </c>
      <c r="D311" s="2945">
        <v>4710</v>
      </c>
      <c r="E311" s="2945">
        <v>5510</v>
      </c>
      <c r="F311" s="2945">
        <v>880</v>
      </c>
      <c r="G311" s="2958">
        <v>2840</v>
      </c>
    </row>
    <row r="312" spans="1:7" s="2779" customFormat="1" ht="14.25" customHeight="1">
      <c r="A312" s="2945" t="s">
        <v>306</v>
      </c>
      <c r="B312" s="2945" t="s">
        <v>2999</v>
      </c>
      <c r="C312" s="2945">
        <v>4690</v>
      </c>
      <c r="D312" s="2945">
        <v>4640</v>
      </c>
      <c r="E312" s="2945">
        <v>5420</v>
      </c>
      <c r="F312" s="2945">
        <v>800</v>
      </c>
      <c r="G312" s="2958">
        <v>2800</v>
      </c>
    </row>
    <row r="313" spans="1:7" s="2779" customFormat="1" ht="14.25" customHeight="1">
      <c r="A313" s="2945" t="s">
        <v>306</v>
      </c>
      <c r="B313" s="2945" t="s">
        <v>3004</v>
      </c>
      <c r="C313" s="2945">
        <v>4810</v>
      </c>
      <c r="D313" s="2945">
        <v>4760</v>
      </c>
      <c r="E313" s="2945">
        <v>5550</v>
      </c>
      <c r="F313" s="2945">
        <v>920</v>
      </c>
      <c r="G313" s="2958">
        <v>2870</v>
      </c>
    </row>
    <row r="314" spans="1:7" s="2779" customFormat="1" ht="14.25" customHeight="1">
      <c r="A314" s="2945" t="s">
        <v>306</v>
      </c>
      <c r="B314" s="2945" t="s">
        <v>3142</v>
      </c>
      <c r="C314" s="2945"/>
      <c r="D314" s="2945"/>
      <c r="E314" s="2945"/>
      <c r="F314" s="2945">
        <v>1020</v>
      </c>
      <c r="G314" s="2958"/>
    </row>
    <row r="315" spans="1:7" s="2779" customFormat="1" ht="14.25" customHeight="1">
      <c r="A315" s="2945" t="s">
        <v>306</v>
      </c>
      <c r="B315" s="2945" t="s">
        <v>3143</v>
      </c>
      <c r="C315" s="2945"/>
      <c r="D315" s="2945"/>
      <c r="E315" s="2945"/>
      <c r="F315" s="2945">
        <v>1050</v>
      </c>
      <c r="G315" s="2958"/>
    </row>
    <row r="316" spans="1:7" s="2779" customFormat="1" ht="14.25" customHeight="1">
      <c r="A316" s="2945" t="s">
        <v>306</v>
      </c>
      <c r="B316" s="2945" t="s">
        <v>3019</v>
      </c>
      <c r="C316" s="2945"/>
      <c r="D316" s="2945"/>
      <c r="E316" s="2945"/>
      <c r="F316" s="2945">
        <v>900</v>
      </c>
      <c r="G316" s="2958"/>
    </row>
    <row r="317" spans="1:7" s="2779" customFormat="1" ht="14.25" customHeight="1">
      <c r="A317" s="2945" t="s">
        <v>306</v>
      </c>
      <c r="B317" s="2945" t="s">
        <v>3144</v>
      </c>
      <c r="C317" s="2945"/>
      <c r="D317" s="2945"/>
      <c r="E317" s="2945"/>
      <c r="F317" s="2945">
        <v>920</v>
      </c>
      <c r="G317" s="2958"/>
    </row>
    <row r="318" spans="1:7" s="2779" customFormat="1" ht="14.25" customHeight="1">
      <c r="A318" s="2945" t="s">
        <v>306</v>
      </c>
      <c r="B318" s="2945" t="s">
        <v>3145</v>
      </c>
      <c r="C318" s="2945"/>
      <c r="D318" s="2945"/>
      <c r="E318" s="2945"/>
      <c r="F318" s="2945">
        <v>1080</v>
      </c>
      <c r="G318" s="2958"/>
    </row>
    <row r="319" spans="1:7" s="2779" customFormat="1" ht="14.25" customHeight="1">
      <c r="A319" s="2945" t="s">
        <v>306</v>
      </c>
      <c r="B319" s="2945" t="s">
        <v>3032</v>
      </c>
      <c r="C319" s="2945"/>
      <c r="D319" s="2945"/>
      <c r="E319" s="2945"/>
      <c r="F319" s="2945">
        <v>1020</v>
      </c>
      <c r="G319" s="2958"/>
    </row>
    <row r="320" spans="1:7" s="2779" customFormat="1" ht="14.25" customHeight="1">
      <c r="A320" s="2945" t="s">
        <v>306</v>
      </c>
      <c r="B320" s="2945" t="s">
        <v>3035</v>
      </c>
      <c r="C320" s="2945"/>
      <c r="D320" s="2945"/>
      <c r="E320" s="2945"/>
      <c r="F320" s="2945">
        <v>1050</v>
      </c>
      <c r="G320" s="2958"/>
    </row>
    <row r="321" spans="1:7" s="2779" customFormat="1" ht="14.25" customHeight="1">
      <c r="A321" s="2945" t="s">
        <v>306</v>
      </c>
      <c r="B321" s="2945" t="s">
        <v>3037</v>
      </c>
      <c r="C321" s="2945"/>
      <c r="D321" s="2945"/>
      <c r="E321" s="2945"/>
      <c r="F321" s="2945">
        <v>960</v>
      </c>
      <c r="G321" s="2958"/>
    </row>
    <row r="322" spans="1:7" s="2779" customFormat="1" ht="14.25" customHeight="1">
      <c r="A322" s="2945" t="s">
        <v>306</v>
      </c>
      <c r="B322" s="2945" t="s">
        <v>3039</v>
      </c>
      <c r="C322" s="2945"/>
      <c r="D322" s="2945"/>
      <c r="E322" s="2945"/>
      <c r="F322" s="2945">
        <v>960</v>
      </c>
      <c r="G322" s="2958"/>
    </row>
    <row r="323" spans="1:7" s="2779" customFormat="1" ht="14.25" customHeight="1">
      <c r="A323" s="2945" t="s">
        <v>306</v>
      </c>
      <c r="B323" s="2945" t="s">
        <v>3041</v>
      </c>
      <c r="C323" s="2945"/>
      <c r="D323" s="2945"/>
      <c r="E323" s="2945"/>
      <c r="F323" s="2945">
        <v>880</v>
      </c>
      <c r="G323" s="2958"/>
    </row>
    <row r="324" spans="1:7" s="2779" customFormat="1" ht="14.25" customHeight="1">
      <c r="A324" s="2945" t="s">
        <v>306</v>
      </c>
      <c r="B324" s="2945" t="s">
        <v>3043</v>
      </c>
      <c r="C324" s="2945"/>
      <c r="D324" s="2945"/>
      <c r="E324" s="2945"/>
      <c r="F324" s="2945">
        <v>930</v>
      </c>
      <c r="G324" s="2958"/>
    </row>
    <row r="325" spans="1:7" s="2779" customFormat="1" ht="14.25" customHeight="1">
      <c r="A325" s="2945" t="s">
        <v>306</v>
      </c>
      <c r="B325" s="2946" t="s">
        <v>3045</v>
      </c>
      <c r="C325" s="2945"/>
      <c r="D325" s="2945"/>
      <c r="E325" s="2945"/>
      <c r="F325" s="2945">
        <v>900</v>
      </c>
      <c r="G325" s="2958"/>
    </row>
    <row r="326" spans="1:7" s="2779" customFormat="1" ht="14.25" customHeight="1" thickBot="1">
      <c r="A326" s="2959" t="s">
        <v>306</v>
      </c>
      <c r="B326" s="2952" t="s">
        <v>3047</v>
      </c>
      <c r="C326" s="2952"/>
      <c r="D326" s="2952"/>
      <c r="E326" s="2952"/>
      <c r="F326" s="2952">
        <v>790</v>
      </c>
      <c r="G326" s="2960"/>
    </row>
    <row r="327" spans="1:7" s="2779" customFormat="1" ht="14.25" customHeight="1">
      <c r="A327" s="2950" t="s">
        <v>307</v>
      </c>
      <c r="B327" s="2941" t="s">
        <v>3146</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3147</v>
      </c>
      <c r="C329" s="2945">
        <v>2730</v>
      </c>
      <c r="D329" s="2945">
        <v>2690</v>
      </c>
      <c r="E329" s="2945">
        <v>3100</v>
      </c>
      <c r="F329" s="2945">
        <v>660</v>
      </c>
      <c r="G329" s="2945">
        <v>1610</v>
      </c>
    </row>
    <row r="330" spans="1:7" s="2779" customFormat="1" ht="14.25" customHeight="1">
      <c r="A330" s="2945" t="s">
        <v>307</v>
      </c>
      <c r="B330" s="2945" t="s">
        <v>3148</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2881</v>
      </c>
      <c r="C332" s="2945">
        <v>3520</v>
      </c>
      <c r="D332" s="2945">
        <v>3480</v>
      </c>
      <c r="E332" s="2945">
        <v>3830</v>
      </c>
      <c r="F332" s="2945">
        <v>720</v>
      </c>
      <c r="G332" s="2945">
        <v>2090</v>
      </c>
    </row>
    <row r="333" spans="1:7" s="2779" customFormat="1" ht="14.25" customHeight="1">
      <c r="A333" s="2945" t="s">
        <v>307</v>
      </c>
      <c r="B333" s="2945" t="s">
        <v>3149</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2891</v>
      </c>
      <c r="C336" s="2945">
        <v>3570</v>
      </c>
      <c r="D336" s="2945">
        <v>3530</v>
      </c>
      <c r="E336" s="2945">
        <v>3880</v>
      </c>
      <c r="F336" s="2945">
        <v>770</v>
      </c>
      <c r="G336" s="2945">
        <v>2110</v>
      </c>
    </row>
    <row r="337" spans="1:10" s="2779" customFormat="1" ht="14.25" customHeight="1">
      <c r="A337" s="2945" t="s">
        <v>307</v>
      </c>
      <c r="B337" s="2945" t="s">
        <v>3150</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3151</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3152</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2916</v>
      </c>
      <c r="C345" s="2945">
        <v>3190</v>
      </c>
      <c r="D345" s="2945">
        <v>3140</v>
      </c>
      <c r="E345" s="2945">
        <v>3450</v>
      </c>
      <c r="F345" s="2945">
        <v>720</v>
      </c>
      <c r="G345" s="2945">
        <v>1880</v>
      </c>
      <c r="J345" s="2779"/>
    </row>
    <row r="346" spans="1:10">
      <c r="A346" s="2945" t="s">
        <v>307</v>
      </c>
      <c r="B346" s="2945" t="s">
        <v>3153</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2925</v>
      </c>
      <c r="C348" s="2945">
        <v>4000</v>
      </c>
      <c r="D348" s="2945">
        <v>3950</v>
      </c>
      <c r="E348" s="2945">
        <v>4430</v>
      </c>
      <c r="F348" s="2945">
        <v>760</v>
      </c>
      <c r="G348" s="2945">
        <v>2360</v>
      </c>
      <c r="J348" s="2779"/>
    </row>
    <row r="349" spans="1:10">
      <c r="A349" s="2945" t="s">
        <v>307</v>
      </c>
      <c r="B349" s="2945" t="s">
        <v>2930</v>
      </c>
      <c r="C349" s="2945">
        <v>3820</v>
      </c>
      <c r="D349" s="2945">
        <v>3780</v>
      </c>
      <c r="E349" s="2945">
        <v>4170</v>
      </c>
      <c r="F349" s="2945">
        <v>710</v>
      </c>
      <c r="G349" s="2945">
        <v>2260</v>
      </c>
      <c r="J349" s="2779"/>
    </row>
    <row r="350" spans="1:10">
      <c r="A350" s="2945" t="s">
        <v>307</v>
      </c>
      <c r="B350" s="2945" t="s">
        <v>3154</v>
      </c>
      <c r="C350" s="2945">
        <v>3760</v>
      </c>
      <c r="D350" s="2945">
        <v>3730</v>
      </c>
      <c r="E350" s="2945">
        <v>4100</v>
      </c>
      <c r="F350" s="2945">
        <v>800</v>
      </c>
      <c r="G350" s="2945">
        <v>2230</v>
      </c>
      <c r="J350" s="2779"/>
    </row>
    <row r="351" spans="1:10">
      <c r="A351" s="2945" t="s">
        <v>307</v>
      </c>
      <c r="B351" s="2945" t="s">
        <v>2938</v>
      </c>
      <c r="C351" s="2945">
        <v>3610</v>
      </c>
      <c r="D351" s="2945">
        <v>3580</v>
      </c>
      <c r="E351" s="2945">
        <v>3930</v>
      </c>
      <c r="F351" s="2945">
        <v>700</v>
      </c>
      <c r="G351" s="2945">
        <v>2140</v>
      </c>
      <c r="J351" s="2779"/>
    </row>
    <row r="352" spans="1:10">
      <c r="A352" s="2945" t="s">
        <v>307</v>
      </c>
      <c r="B352" s="2945" t="s">
        <v>2943</v>
      </c>
      <c r="C352" s="2945">
        <v>3670</v>
      </c>
      <c r="D352" s="2945">
        <v>3630</v>
      </c>
      <c r="E352" s="2945">
        <v>4000</v>
      </c>
      <c r="F352" s="2945">
        <v>750</v>
      </c>
      <c r="G352" s="2945">
        <v>2180</v>
      </c>
    </row>
    <row r="353" spans="1:7" s="2780" customFormat="1">
      <c r="A353" s="2945" t="s">
        <v>307</v>
      </c>
      <c r="B353" s="2945" t="s">
        <v>3155</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2963</v>
      </c>
      <c r="C355" s="2945">
        <v>3650</v>
      </c>
      <c r="D355" s="2945">
        <v>3610</v>
      </c>
      <c r="E355" s="2945">
        <v>4200</v>
      </c>
      <c r="F355" s="2945">
        <v>640</v>
      </c>
      <c r="G355" s="2945">
        <v>2160</v>
      </c>
    </row>
    <row r="356" spans="1:7" s="2780" customFormat="1">
      <c r="A356" s="2945" t="s">
        <v>307</v>
      </c>
      <c r="B356" s="2945" t="s">
        <v>2970</v>
      </c>
      <c r="C356" s="2945">
        <v>3260</v>
      </c>
      <c r="D356" s="2945">
        <v>3230</v>
      </c>
      <c r="E356" s="2945">
        <v>3740</v>
      </c>
      <c r="F356" s="2945">
        <v>600</v>
      </c>
      <c r="G356" s="2945">
        <v>1930</v>
      </c>
    </row>
    <row r="357" spans="1:7" s="2780" customFormat="1" ht="12" thickBot="1">
      <c r="A357" s="2953" t="s">
        <v>307</v>
      </c>
      <c r="B357" s="2956" t="s">
        <v>3156</v>
      </c>
      <c r="C357" s="2956">
        <v>3690</v>
      </c>
      <c r="D357" s="2956">
        <v>3650</v>
      </c>
      <c r="E357" s="2956">
        <v>4020</v>
      </c>
      <c r="F357" s="2956">
        <v>700</v>
      </c>
      <c r="G357" s="2956">
        <v>2190</v>
      </c>
    </row>
    <row r="358" spans="1:7" s="2780" customFormat="1">
      <c r="A358" s="2950" t="s">
        <v>3157</v>
      </c>
      <c r="B358" s="2941" t="s">
        <v>3158</v>
      </c>
      <c r="C358" s="2941">
        <v>2080</v>
      </c>
      <c r="D358" s="2941">
        <v>2040</v>
      </c>
      <c r="E358" s="2941">
        <v>2010</v>
      </c>
      <c r="F358" s="2941">
        <v>530</v>
      </c>
      <c r="G358" s="2957">
        <v>1230</v>
      </c>
    </row>
    <row r="359" spans="1:7" s="2780" customFormat="1">
      <c r="A359" s="2945" t="s">
        <v>3157</v>
      </c>
      <c r="B359" s="2945" t="s">
        <v>3159</v>
      </c>
      <c r="C359" s="2945">
        <v>1850</v>
      </c>
      <c r="D359" s="2945">
        <v>1820</v>
      </c>
      <c r="E359" s="2945">
        <v>1780</v>
      </c>
      <c r="F359" s="2945">
        <v>520</v>
      </c>
      <c r="G359" s="2958">
        <v>1100</v>
      </c>
    </row>
    <row r="360" spans="1:7" s="2780" customFormat="1">
      <c r="A360" s="2945" t="s">
        <v>3157</v>
      </c>
      <c r="B360" s="2945" t="s">
        <v>3160</v>
      </c>
      <c r="C360" s="2945">
        <v>2020</v>
      </c>
      <c r="D360" s="2945">
        <v>1990</v>
      </c>
      <c r="E360" s="2945">
        <v>1950</v>
      </c>
      <c r="F360" s="2945">
        <v>500</v>
      </c>
      <c r="G360" s="2958">
        <v>1200</v>
      </c>
    </row>
    <row r="361" spans="1:7" s="2780" customFormat="1">
      <c r="A361" s="2945" t="s">
        <v>3157</v>
      </c>
      <c r="B361" s="2945" t="s">
        <v>153</v>
      </c>
      <c r="C361" s="2945">
        <v>2260</v>
      </c>
      <c r="D361" s="2945">
        <v>2220</v>
      </c>
      <c r="E361" s="2945">
        <v>2180</v>
      </c>
      <c r="F361" s="2945">
        <v>580</v>
      </c>
      <c r="G361" s="2958">
        <v>1340</v>
      </c>
    </row>
    <row r="362" spans="1:7" s="2780" customFormat="1">
      <c r="A362" s="2945" t="s">
        <v>3157</v>
      </c>
      <c r="B362" s="2945" t="s">
        <v>3161</v>
      </c>
      <c r="C362" s="2945">
        <v>2650</v>
      </c>
      <c r="D362" s="2945">
        <v>2610</v>
      </c>
      <c r="E362" s="2945">
        <v>2570</v>
      </c>
      <c r="F362" s="2945">
        <v>630</v>
      </c>
      <c r="G362" s="2958">
        <v>1570</v>
      </c>
    </row>
    <row r="363" spans="1:7" s="2780" customFormat="1">
      <c r="A363" s="2945" t="s">
        <v>3157</v>
      </c>
      <c r="B363" s="2945" t="s">
        <v>2882</v>
      </c>
      <c r="C363" s="2945">
        <v>2390</v>
      </c>
      <c r="D363" s="2945">
        <v>2360</v>
      </c>
      <c r="E363" s="2945">
        <v>2320</v>
      </c>
      <c r="F363" s="2945">
        <v>600</v>
      </c>
      <c r="G363" s="2958">
        <v>1420</v>
      </c>
    </row>
    <row r="364" spans="1:7" s="2780" customFormat="1">
      <c r="A364" s="2945" t="s">
        <v>3157</v>
      </c>
      <c r="B364" s="2945" t="s">
        <v>3162</v>
      </c>
      <c r="C364" s="2945">
        <v>2050</v>
      </c>
      <c r="D364" s="2945">
        <v>2030</v>
      </c>
      <c r="E364" s="2945">
        <v>1990</v>
      </c>
      <c r="F364" s="2945">
        <v>550</v>
      </c>
      <c r="G364" s="2958">
        <v>1220</v>
      </c>
    </row>
    <row r="365" spans="1:7" s="2780" customFormat="1">
      <c r="A365" s="2945" t="s">
        <v>3157</v>
      </c>
      <c r="B365" s="2945" t="s">
        <v>200</v>
      </c>
      <c r="C365" s="2945">
        <v>2140</v>
      </c>
      <c r="D365" s="2945">
        <v>2100</v>
      </c>
      <c r="E365" s="2945">
        <v>2060</v>
      </c>
      <c r="F365" s="2945">
        <v>540</v>
      </c>
      <c r="G365" s="2958">
        <v>1270</v>
      </c>
    </row>
    <row r="366" spans="1:7" s="2780" customFormat="1">
      <c r="A366" s="2945" t="s">
        <v>3157</v>
      </c>
      <c r="B366" s="2945" t="s">
        <v>2889</v>
      </c>
      <c r="C366" s="2945">
        <v>2410</v>
      </c>
      <c r="D366" s="2945">
        <v>2370</v>
      </c>
      <c r="E366" s="2945">
        <v>2330</v>
      </c>
      <c r="F366" s="2945">
        <v>570</v>
      </c>
      <c r="G366" s="2958">
        <v>1440</v>
      </c>
    </row>
    <row r="367" spans="1:7" s="2780" customFormat="1">
      <c r="A367" s="2945" t="s">
        <v>3157</v>
      </c>
      <c r="B367" s="2945" t="s">
        <v>3163</v>
      </c>
      <c r="C367" s="2945">
        <v>2300</v>
      </c>
      <c r="D367" s="2945">
        <v>2260</v>
      </c>
      <c r="E367" s="2945">
        <v>2220</v>
      </c>
      <c r="F367" s="2945">
        <v>560</v>
      </c>
      <c r="G367" s="2958">
        <v>1370</v>
      </c>
    </row>
    <row r="368" spans="1:7" s="2780" customFormat="1">
      <c r="A368" s="2945" t="s">
        <v>3157</v>
      </c>
      <c r="B368" s="2945" t="s">
        <v>3164</v>
      </c>
      <c r="C368" s="2945">
        <v>2430</v>
      </c>
      <c r="D368" s="2945">
        <v>2390</v>
      </c>
      <c r="E368" s="2945">
        <v>2350</v>
      </c>
      <c r="F368" s="2945">
        <v>570</v>
      </c>
      <c r="G368" s="2958">
        <v>1450</v>
      </c>
    </row>
    <row r="369" spans="1:7" s="2780" customFormat="1">
      <c r="A369" s="2945" t="s">
        <v>3157</v>
      </c>
      <c r="B369" s="2945" t="s">
        <v>214</v>
      </c>
      <c r="C369" s="2945">
        <v>2320</v>
      </c>
      <c r="D369" s="2945">
        <v>2290</v>
      </c>
      <c r="E369" s="2945">
        <v>2250</v>
      </c>
      <c r="F369" s="2945">
        <v>550</v>
      </c>
      <c r="G369" s="2958">
        <v>1380</v>
      </c>
    </row>
    <row r="370" spans="1:7" s="2780" customFormat="1">
      <c r="A370" s="2945" t="s">
        <v>3157</v>
      </c>
      <c r="B370" s="2945" t="s">
        <v>221</v>
      </c>
      <c r="C370" s="2945">
        <v>2190</v>
      </c>
      <c r="D370" s="2945">
        <v>2170</v>
      </c>
      <c r="E370" s="2945">
        <v>2130</v>
      </c>
      <c r="F370" s="2945">
        <v>530</v>
      </c>
      <c r="G370" s="2958">
        <v>1310</v>
      </c>
    </row>
    <row r="371" spans="1:7" s="2780" customFormat="1">
      <c r="A371" s="2945" t="s">
        <v>3157</v>
      </c>
      <c r="B371" s="2945" t="s">
        <v>229</v>
      </c>
      <c r="C371" s="2945">
        <v>2460</v>
      </c>
      <c r="D371" s="2945">
        <v>2420</v>
      </c>
      <c r="E371" s="2945">
        <v>2370</v>
      </c>
      <c r="F371" s="2945">
        <v>560</v>
      </c>
      <c r="G371" s="2958">
        <v>1470</v>
      </c>
    </row>
    <row r="372" spans="1:7" s="2780" customFormat="1">
      <c r="A372" s="2945" t="s">
        <v>3157</v>
      </c>
      <c r="B372" s="2945" t="s">
        <v>3165</v>
      </c>
      <c r="C372" s="2945">
        <v>2250</v>
      </c>
      <c r="D372" s="2945">
        <v>2210</v>
      </c>
      <c r="E372" s="2945">
        <v>2180</v>
      </c>
      <c r="F372" s="2945">
        <v>550</v>
      </c>
      <c r="G372" s="2958">
        <v>1340</v>
      </c>
    </row>
    <row r="373" spans="1:7" s="2780" customFormat="1">
      <c r="A373" s="2945" t="s">
        <v>3157</v>
      </c>
      <c r="B373" s="2945" t="s">
        <v>258</v>
      </c>
      <c r="C373" s="2945">
        <v>2210</v>
      </c>
      <c r="D373" s="2945">
        <v>2190</v>
      </c>
      <c r="E373" s="2945">
        <v>2150</v>
      </c>
      <c r="F373" s="2945">
        <v>530</v>
      </c>
      <c r="G373" s="2958">
        <v>1320</v>
      </c>
    </row>
    <row r="374" spans="1:7" s="2780" customFormat="1">
      <c r="A374" s="2945" t="s">
        <v>3157</v>
      </c>
      <c r="B374" s="2945" t="s">
        <v>266</v>
      </c>
      <c r="C374" s="2945">
        <v>2320</v>
      </c>
      <c r="D374" s="2945">
        <v>2280</v>
      </c>
      <c r="E374" s="2945">
        <v>2230</v>
      </c>
      <c r="F374" s="2945">
        <v>580</v>
      </c>
      <c r="G374" s="2958">
        <v>1380</v>
      </c>
    </row>
    <row r="375" spans="1:7" s="2780" customFormat="1">
      <c r="A375" s="2945" t="s">
        <v>3157</v>
      </c>
      <c r="B375" s="2945" t="s">
        <v>3166</v>
      </c>
      <c r="C375" s="2945">
        <v>2090</v>
      </c>
      <c r="D375" s="2945">
        <v>2050</v>
      </c>
      <c r="E375" s="2945">
        <v>2020</v>
      </c>
      <c r="F375" s="2945">
        <v>520</v>
      </c>
      <c r="G375" s="2958">
        <v>1240</v>
      </c>
    </row>
    <row r="376" spans="1:7" s="2780" customFormat="1">
      <c r="A376" s="2945" t="s">
        <v>3157</v>
      </c>
      <c r="B376" s="2945" t="s">
        <v>277</v>
      </c>
      <c r="C376" s="2945">
        <v>2010</v>
      </c>
      <c r="D376" s="2945">
        <v>1980</v>
      </c>
      <c r="E376" s="2945">
        <v>1940</v>
      </c>
      <c r="F376" s="2945">
        <v>540</v>
      </c>
      <c r="G376" s="2958">
        <v>1190</v>
      </c>
    </row>
    <row r="377" spans="1:7" s="2780" customFormat="1" ht="12" thickBot="1">
      <c r="A377" s="2953" t="s">
        <v>3157</v>
      </c>
      <c r="B377" s="2956" t="s">
        <v>2919</v>
      </c>
      <c r="C377" s="2956">
        <v>1930</v>
      </c>
      <c r="D377" s="2956">
        <v>1890</v>
      </c>
      <c r="E377" s="2956">
        <v>1860</v>
      </c>
      <c r="F377" s="2956">
        <v>530</v>
      </c>
      <c r="G377" s="2961">
        <v>1150</v>
      </c>
    </row>
    <row r="378" spans="1:7" s="2780" customFormat="1">
      <c r="A378" s="2962" t="s">
        <v>3167</v>
      </c>
      <c r="B378" s="2941" t="s">
        <v>3168</v>
      </c>
      <c r="C378" s="2941">
        <v>1520</v>
      </c>
      <c r="D378" s="2941">
        <v>1490</v>
      </c>
      <c r="E378" s="2941">
        <v>1460</v>
      </c>
      <c r="F378" s="2941">
        <v>460</v>
      </c>
      <c r="G378" s="2957">
        <v>940</v>
      </c>
    </row>
    <row r="379" spans="1:7" s="2780" customFormat="1">
      <c r="A379" s="2963" t="s">
        <v>3167</v>
      </c>
      <c r="B379" s="2945" t="s">
        <v>3169</v>
      </c>
      <c r="C379" s="2945">
        <v>1500</v>
      </c>
      <c r="D379" s="2945">
        <v>1470</v>
      </c>
      <c r="E379" s="2945">
        <v>1430</v>
      </c>
      <c r="F379" s="2945">
        <v>460</v>
      </c>
      <c r="G379" s="2958">
        <v>920</v>
      </c>
    </row>
    <row r="380" spans="1:7" s="2780" customFormat="1">
      <c r="A380" s="2963" t="s">
        <v>3167</v>
      </c>
      <c r="B380" s="2945" t="s">
        <v>3170</v>
      </c>
      <c r="C380" s="2945">
        <v>1620</v>
      </c>
      <c r="D380" s="2945">
        <v>1590</v>
      </c>
      <c r="E380" s="2945">
        <v>1560</v>
      </c>
      <c r="F380" s="2945">
        <v>480</v>
      </c>
      <c r="G380" s="2958">
        <v>1000</v>
      </c>
    </row>
    <row r="381" spans="1:7" s="2780" customFormat="1">
      <c r="A381" s="2963" t="s">
        <v>3167</v>
      </c>
      <c r="B381" s="2945" t="s">
        <v>3171</v>
      </c>
      <c r="C381" s="2945">
        <v>1460</v>
      </c>
      <c r="D381" s="2945">
        <v>1430</v>
      </c>
      <c r="E381" s="2945">
        <v>1390</v>
      </c>
      <c r="F381" s="2945">
        <v>450</v>
      </c>
      <c r="G381" s="2958">
        <v>900</v>
      </c>
    </row>
    <row r="382" spans="1:7" s="2780" customFormat="1">
      <c r="A382" s="2963" t="s">
        <v>3167</v>
      </c>
      <c r="B382" s="2945" t="s">
        <v>3172</v>
      </c>
      <c r="C382" s="2945">
        <v>1310</v>
      </c>
      <c r="D382" s="2945">
        <v>1280</v>
      </c>
      <c r="E382" s="2945">
        <v>1250</v>
      </c>
      <c r="F382" s="2945">
        <v>440</v>
      </c>
      <c r="G382" s="2958">
        <v>800</v>
      </c>
    </row>
    <row r="383" spans="1:7" s="2780" customFormat="1">
      <c r="A383" s="2963" t="s">
        <v>3167</v>
      </c>
      <c r="B383" s="2945" t="s">
        <v>3173</v>
      </c>
      <c r="C383" s="2945">
        <v>1260</v>
      </c>
      <c r="D383" s="2945">
        <v>1230</v>
      </c>
      <c r="E383" s="2945">
        <v>1200</v>
      </c>
      <c r="F383" s="2945">
        <v>420</v>
      </c>
      <c r="G383" s="2958">
        <v>770</v>
      </c>
    </row>
    <row r="384" spans="1:7" s="2780" customFormat="1" ht="12" thickBot="1">
      <c r="A384" s="2964" t="s">
        <v>3167</v>
      </c>
      <c r="B384" s="2952" t="s">
        <v>3174</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3175</v>
      </c>
      <c r="B1" s="3503"/>
    </row>
    <row r="2" spans="1:7" ht="14.25" thickBot="1">
      <c r="A2" s="2966"/>
      <c r="B2" s="2966"/>
    </row>
    <row r="3" spans="1:7" ht="14.25" thickBot="1">
      <c r="A3" s="2966"/>
      <c r="B3" s="2966"/>
      <c r="C3" s="2967" t="s">
        <v>2805</v>
      </c>
      <c r="D3" s="2967" t="s">
        <v>2861</v>
      </c>
      <c r="E3" s="2967" t="s">
        <v>2807</v>
      </c>
      <c r="F3" s="2967" t="s">
        <v>2862</v>
      </c>
      <c r="G3" s="2967" t="s">
        <v>2625</v>
      </c>
    </row>
    <row r="4" spans="1:7" ht="14.25" thickBot="1">
      <c r="A4" s="2968" t="s">
        <v>2860</v>
      </c>
      <c r="B4" s="2969" t="s">
        <v>2866</v>
      </c>
      <c r="C4" s="2967"/>
      <c r="D4" s="2967"/>
      <c r="E4" s="2967"/>
      <c r="F4" s="2967"/>
      <c r="G4" s="2967"/>
    </row>
    <row r="5" spans="1:7">
      <c r="A5" s="2970" t="s">
        <v>2834</v>
      </c>
      <c r="B5" s="2971" t="s">
        <v>2848</v>
      </c>
      <c r="C5" s="2972">
        <v>9.8000000000000004E-2</v>
      </c>
      <c r="D5" s="2972">
        <v>8.6999999999999994E-2</v>
      </c>
      <c r="E5" s="2972">
        <v>8.6999999999999994E-2</v>
      </c>
      <c r="F5" s="2972">
        <v>9.8000000000000004E-2</v>
      </c>
      <c r="G5" s="2973">
        <v>9.5000000000000001E-2</v>
      </c>
    </row>
    <row r="6" spans="1:7">
      <c r="A6" s="2974" t="s">
        <v>144</v>
      </c>
      <c r="B6" s="2975" t="s">
        <v>2863</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2849</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2899</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2917</v>
      </c>
      <c r="C29" s="2984"/>
      <c r="D29" s="2980">
        <v>5.1999999999999998E-2</v>
      </c>
      <c r="E29" s="2980">
        <v>7.0000000000000007E-2</v>
      </c>
      <c r="F29" s="2984"/>
      <c r="G29" s="2982">
        <v>7.0999999999999994E-2</v>
      </c>
    </row>
    <row r="30" spans="1:7">
      <c r="A30" s="2985" t="s">
        <v>296</v>
      </c>
      <c r="B30" s="2971" t="s">
        <v>2850</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2836</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2920</v>
      </c>
      <c r="C50" s="2976">
        <v>9.8000000000000004E-2</v>
      </c>
      <c r="D50" s="2976">
        <v>7.2999999999999995E-2</v>
      </c>
      <c r="E50" s="2976">
        <v>7.0999999999999994E-2</v>
      </c>
      <c r="F50" s="2987"/>
      <c r="G50" s="2977">
        <v>7.2999999999999995E-2</v>
      </c>
    </row>
    <row r="51" spans="1:7">
      <c r="A51" s="2986" t="s">
        <v>296</v>
      </c>
      <c r="B51" s="2975" t="s">
        <v>2922</v>
      </c>
      <c r="C51" s="2976">
        <v>9.9000000000000005E-2</v>
      </c>
      <c r="D51" s="2976">
        <v>8.5000000000000006E-2</v>
      </c>
      <c r="E51" s="2976">
        <v>6.3E-2</v>
      </c>
      <c r="F51" s="2987"/>
      <c r="G51" s="2977">
        <v>9.6000000000000002E-2</v>
      </c>
    </row>
    <row r="52" spans="1:7">
      <c r="A52" s="2986" t="s">
        <v>296</v>
      </c>
      <c r="B52" s="2975" t="s">
        <v>2926</v>
      </c>
      <c r="C52" s="2976">
        <v>7.3999999999999996E-2</v>
      </c>
      <c r="D52" s="2976">
        <v>9.6000000000000002E-2</v>
      </c>
      <c r="E52" s="2976">
        <v>0.05</v>
      </c>
      <c r="F52" s="2987"/>
      <c r="G52" s="2977">
        <v>9.8000000000000004E-2</v>
      </c>
    </row>
    <row r="53" spans="1:7">
      <c r="A53" s="2986" t="s">
        <v>296</v>
      </c>
      <c r="B53" s="2975" t="s">
        <v>2931</v>
      </c>
      <c r="C53" s="2976">
        <v>8.5999999999999993E-2</v>
      </c>
      <c r="D53" s="2987"/>
      <c r="E53" s="2976">
        <v>9.1999999999999998E-2</v>
      </c>
      <c r="F53" s="2987"/>
      <c r="G53" s="2988"/>
    </row>
    <row r="54" spans="1:7" ht="14.25" thickBot="1">
      <c r="A54" s="2989" t="s">
        <v>296</v>
      </c>
      <c r="B54" s="2979" t="s">
        <v>2934</v>
      </c>
      <c r="C54" s="2980">
        <v>9.6000000000000002E-2</v>
      </c>
      <c r="D54" s="2981"/>
      <c r="E54" s="2990"/>
      <c r="F54" s="2981"/>
      <c r="G54" s="2991"/>
    </row>
    <row r="55" spans="1:7">
      <c r="A55" s="2985" t="s">
        <v>110</v>
      </c>
      <c r="B55" s="2971" t="s">
        <v>2851</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2932</v>
      </c>
      <c r="C78" s="2976">
        <v>0.1</v>
      </c>
      <c r="D78" s="2976">
        <v>8.5000000000000006E-2</v>
      </c>
      <c r="E78" s="2976">
        <v>9.6000000000000002E-2</v>
      </c>
      <c r="F78" s="2987"/>
      <c r="G78" s="2977">
        <v>9.6000000000000002E-2</v>
      </c>
    </row>
    <row r="79" spans="1:7">
      <c r="A79" s="2986" t="s">
        <v>110</v>
      </c>
      <c r="B79" s="2975" t="s">
        <v>2935</v>
      </c>
      <c r="C79" s="2976">
        <v>0.05</v>
      </c>
      <c r="D79" s="2976">
        <v>9.6000000000000002E-2</v>
      </c>
      <c r="E79" s="2976">
        <v>9.5000000000000001E-2</v>
      </c>
      <c r="F79" s="2987"/>
      <c r="G79" s="2977">
        <v>9.8000000000000004E-2</v>
      </c>
    </row>
    <row r="80" spans="1:7">
      <c r="A80" s="2986" t="s">
        <v>110</v>
      </c>
      <c r="B80" s="2975" t="s">
        <v>2939</v>
      </c>
      <c r="C80" s="2976">
        <v>8.5999999999999993E-2</v>
      </c>
      <c r="D80" s="2992"/>
      <c r="E80" s="2976">
        <v>0.1</v>
      </c>
      <c r="F80" s="2987"/>
      <c r="G80" s="2988"/>
    </row>
    <row r="81" spans="1:7">
      <c r="A81" s="2986" t="s">
        <v>110</v>
      </c>
      <c r="B81" s="2975" t="s">
        <v>2944</v>
      </c>
      <c r="C81" s="2976">
        <v>9.6000000000000002E-2</v>
      </c>
      <c r="D81" s="2987"/>
      <c r="E81" s="2976">
        <v>9.8000000000000004E-2</v>
      </c>
      <c r="F81" s="2987"/>
      <c r="G81" s="2988"/>
    </row>
    <row r="82" spans="1:7">
      <c r="A82" s="2986" t="s">
        <v>110</v>
      </c>
      <c r="B82" s="2975" t="s">
        <v>2951</v>
      </c>
      <c r="C82" s="2992"/>
      <c r="D82" s="2987"/>
      <c r="E82" s="2976">
        <v>7.6999999999999999E-2</v>
      </c>
      <c r="F82" s="2987"/>
      <c r="G82" s="2988"/>
    </row>
    <row r="83" spans="1:7">
      <c r="A83" s="2986" t="s">
        <v>110</v>
      </c>
      <c r="B83" s="2975" t="s">
        <v>2957</v>
      </c>
      <c r="C83" s="2987"/>
      <c r="D83" s="2987"/>
      <c r="E83" s="2987"/>
      <c r="F83" s="2976">
        <v>0.1</v>
      </c>
      <c r="G83" s="2993"/>
    </row>
    <row r="84" spans="1:7">
      <c r="A84" s="2986" t="s">
        <v>110</v>
      </c>
      <c r="B84" s="2975" t="s">
        <v>2964</v>
      </c>
      <c r="C84" s="2987"/>
      <c r="D84" s="2987"/>
      <c r="E84" s="2987"/>
      <c r="F84" s="2976">
        <v>0.1</v>
      </c>
      <c r="G84" s="2993"/>
    </row>
    <row r="85" spans="1:7">
      <c r="A85" s="2986" t="s">
        <v>110</v>
      </c>
      <c r="B85" s="2975" t="s">
        <v>2971</v>
      </c>
      <c r="C85" s="2987"/>
      <c r="D85" s="2987"/>
      <c r="E85" s="2987"/>
      <c r="F85" s="2976">
        <v>0.1</v>
      </c>
      <c r="G85" s="2993"/>
    </row>
    <row r="86" spans="1:7" ht="14.25" thickBot="1">
      <c r="A86" s="2989" t="s">
        <v>110</v>
      </c>
      <c r="B86" s="2979" t="s">
        <v>2976</v>
      </c>
      <c r="C86" s="2980">
        <v>9.8000000000000004E-2</v>
      </c>
      <c r="D86" s="2980">
        <v>9.8000000000000004E-2</v>
      </c>
      <c r="E86" s="2980">
        <v>9.6000000000000002E-2</v>
      </c>
      <c r="F86" s="2990"/>
      <c r="G86" s="2982">
        <v>0.1</v>
      </c>
    </row>
    <row r="87" spans="1:7">
      <c r="A87" s="2985" t="s">
        <v>303</v>
      </c>
      <c r="B87" s="2971" t="s">
        <v>2852</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2945</v>
      </c>
      <c r="C113" s="2976">
        <v>0.1</v>
      </c>
      <c r="D113" s="2976">
        <v>0.1</v>
      </c>
      <c r="E113" s="2987"/>
      <c r="F113" s="2987"/>
      <c r="G113" s="2977">
        <v>0.1</v>
      </c>
    </row>
    <row r="114" spans="1:7">
      <c r="A114" s="2986" t="s">
        <v>303</v>
      </c>
      <c r="B114" s="2975" t="s">
        <v>2952</v>
      </c>
      <c r="C114" s="2976">
        <v>9.7000000000000003E-2</v>
      </c>
      <c r="D114" s="2976">
        <v>9.7000000000000003E-2</v>
      </c>
      <c r="E114" s="2987"/>
      <c r="F114" s="2987"/>
      <c r="G114" s="2977">
        <v>9.9000000000000005E-2</v>
      </c>
    </row>
    <row r="115" spans="1:7">
      <c r="A115" s="2986" t="s">
        <v>303</v>
      </c>
      <c r="B115" s="2975" t="s">
        <v>2958</v>
      </c>
      <c r="C115" s="2976">
        <v>0.1</v>
      </c>
      <c r="D115" s="2976">
        <v>0.1</v>
      </c>
      <c r="E115" s="2987"/>
      <c r="F115" s="2987"/>
      <c r="G115" s="2977">
        <v>0.1</v>
      </c>
    </row>
    <row r="116" spans="1:7">
      <c r="A116" s="2986" t="s">
        <v>303</v>
      </c>
      <c r="B116" s="2975" t="s">
        <v>2965</v>
      </c>
      <c r="C116" s="2976">
        <v>0.1</v>
      </c>
      <c r="D116" s="2976">
        <v>0.1</v>
      </c>
      <c r="E116" s="2987"/>
      <c r="F116" s="2987"/>
      <c r="G116" s="2977">
        <v>0.1</v>
      </c>
    </row>
    <row r="117" spans="1:7">
      <c r="A117" s="2986" t="s">
        <v>303</v>
      </c>
      <c r="B117" s="2975" t="s">
        <v>2972</v>
      </c>
      <c r="C117" s="2976">
        <v>9.7000000000000003E-2</v>
      </c>
      <c r="D117" s="2976">
        <v>9.7000000000000003E-2</v>
      </c>
      <c r="E117" s="2987"/>
      <c r="F117" s="2987"/>
      <c r="G117" s="2977">
        <v>9.7000000000000003E-2</v>
      </c>
    </row>
    <row r="118" spans="1:7">
      <c r="A118" s="2986" t="s">
        <v>303</v>
      </c>
      <c r="B118" s="2975" t="s">
        <v>2977</v>
      </c>
      <c r="C118" s="2976">
        <v>0.1</v>
      </c>
      <c r="D118" s="2976">
        <v>0.1</v>
      </c>
      <c r="E118" s="2987"/>
      <c r="F118" s="2987"/>
      <c r="G118" s="2977">
        <v>0.1</v>
      </c>
    </row>
    <row r="119" spans="1:7">
      <c r="A119" s="2986" t="s">
        <v>303</v>
      </c>
      <c r="B119" s="2975" t="s">
        <v>2981</v>
      </c>
      <c r="C119" s="2976">
        <v>5.0999999999999997E-2</v>
      </c>
      <c r="D119" s="2976">
        <v>5.1999999999999998E-2</v>
      </c>
      <c r="E119" s="2987"/>
      <c r="F119" s="2992"/>
      <c r="G119" s="2977">
        <v>0.06</v>
      </c>
    </row>
    <row r="120" spans="1:7">
      <c r="A120" s="2986" t="s">
        <v>303</v>
      </c>
      <c r="B120" s="2975" t="s">
        <v>2985</v>
      </c>
      <c r="C120" s="2987"/>
      <c r="D120" s="2987"/>
      <c r="E120" s="2987"/>
      <c r="F120" s="2976">
        <v>0.1</v>
      </c>
      <c r="G120" s="2993"/>
    </row>
    <row r="121" spans="1:7">
      <c r="A121" s="2986" t="s">
        <v>303</v>
      </c>
      <c r="B121" s="2975" t="s">
        <v>2990</v>
      </c>
      <c r="C121" s="2987"/>
      <c r="D121" s="2987"/>
      <c r="E121" s="2987"/>
      <c r="F121" s="2976">
        <v>0.1</v>
      </c>
      <c r="G121" s="2993"/>
    </row>
    <row r="122" spans="1:7">
      <c r="A122" s="2986" t="s">
        <v>303</v>
      </c>
      <c r="B122" s="2975" t="s">
        <v>2995</v>
      </c>
      <c r="C122" s="2976">
        <v>0.1</v>
      </c>
      <c r="D122" s="2976">
        <v>0.1</v>
      </c>
      <c r="E122" s="2976">
        <v>9.8000000000000004E-2</v>
      </c>
      <c r="F122" s="2976">
        <v>0.1</v>
      </c>
      <c r="G122" s="2977">
        <v>0.1</v>
      </c>
    </row>
    <row r="123" spans="1:7">
      <c r="A123" s="2986" t="s">
        <v>303</v>
      </c>
      <c r="B123" s="2975" t="s">
        <v>3000</v>
      </c>
      <c r="C123" s="2976">
        <v>0.1</v>
      </c>
      <c r="D123" s="2976">
        <v>0.1</v>
      </c>
      <c r="E123" s="2976">
        <v>9.8000000000000004E-2</v>
      </c>
      <c r="F123" s="2976">
        <v>0.1</v>
      </c>
      <c r="G123" s="2977">
        <v>0.1</v>
      </c>
    </row>
    <row r="124" spans="1:7">
      <c r="A124" s="2986" t="s">
        <v>303</v>
      </c>
      <c r="B124" s="2975" t="s">
        <v>3005</v>
      </c>
      <c r="C124" s="2976">
        <v>0.1</v>
      </c>
      <c r="D124" s="2976">
        <v>0.1</v>
      </c>
      <c r="E124" s="2976">
        <v>9.8000000000000004E-2</v>
      </c>
      <c r="F124" s="2992"/>
      <c r="G124" s="2977">
        <v>0.1</v>
      </c>
    </row>
    <row r="125" spans="1:7">
      <c r="A125" s="2986" t="s">
        <v>303</v>
      </c>
      <c r="B125" s="2975" t="s">
        <v>3010</v>
      </c>
      <c r="C125" s="2976">
        <v>9.8000000000000004E-2</v>
      </c>
      <c r="D125" s="2976">
        <v>9.8000000000000004E-2</v>
      </c>
      <c r="E125" s="2976">
        <v>9.6000000000000002E-2</v>
      </c>
      <c r="F125" s="2992"/>
      <c r="G125" s="2977">
        <v>0.1</v>
      </c>
    </row>
    <row r="126" spans="1:7" ht="14.25" thickBot="1">
      <c r="A126" s="2989" t="s">
        <v>303</v>
      </c>
      <c r="B126" s="2979" t="s">
        <v>3176</v>
      </c>
      <c r="C126" s="2980">
        <v>0.1</v>
      </c>
      <c r="D126" s="2980">
        <v>0.1</v>
      </c>
      <c r="E126" s="2980">
        <v>9.8000000000000004E-2</v>
      </c>
      <c r="F126" s="2980">
        <v>0.1</v>
      </c>
      <c r="G126" s="2982">
        <v>0.1</v>
      </c>
    </row>
    <row r="127" spans="1:7">
      <c r="A127" s="2985" t="s">
        <v>29</v>
      </c>
      <c r="B127" s="2971" t="s">
        <v>2853</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2923</v>
      </c>
      <c r="C148" s="2976">
        <v>0.13</v>
      </c>
      <c r="D148" s="2976">
        <v>0.13</v>
      </c>
      <c r="E148" s="2976">
        <v>0.13</v>
      </c>
      <c r="F148" s="2987"/>
      <c r="G148" s="2977">
        <v>0.13</v>
      </c>
    </row>
    <row r="149" spans="1:7">
      <c r="A149" s="2986" t="s">
        <v>29</v>
      </c>
      <c r="B149" s="2975" t="s">
        <v>2927</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2946</v>
      </c>
      <c r="C153" s="2976">
        <v>0.13</v>
      </c>
      <c r="D153" s="2976">
        <v>0.13</v>
      </c>
      <c r="E153" s="2976">
        <v>0.13</v>
      </c>
      <c r="F153" s="2976">
        <v>0.13</v>
      </c>
      <c r="G153" s="2977">
        <v>0.13</v>
      </c>
    </row>
    <row r="154" spans="1:7">
      <c r="A154" s="2986" t="s">
        <v>29</v>
      </c>
      <c r="B154" s="2975" t="s">
        <v>2953</v>
      </c>
      <c r="C154" s="2976">
        <v>0.121</v>
      </c>
      <c r="D154" s="2976">
        <v>0.121</v>
      </c>
      <c r="E154" s="2976">
        <v>0.105</v>
      </c>
      <c r="F154" s="2976">
        <v>0.121</v>
      </c>
      <c r="G154" s="2977">
        <v>0.123</v>
      </c>
    </row>
    <row r="155" spans="1:7">
      <c r="A155" s="2986" t="s">
        <v>29</v>
      </c>
      <c r="B155" s="2975" t="s">
        <v>2959</v>
      </c>
      <c r="C155" s="2976">
        <v>0.1</v>
      </c>
      <c r="D155" s="2976">
        <v>0.1</v>
      </c>
      <c r="E155" s="2976">
        <v>0.1</v>
      </c>
      <c r="F155" s="2976">
        <v>0.1</v>
      </c>
      <c r="G155" s="2977">
        <v>0.1</v>
      </c>
    </row>
    <row r="156" spans="1:7">
      <c r="A156" s="2986" t="s">
        <v>29</v>
      </c>
      <c r="B156" s="2975" t="s">
        <v>2966</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2986</v>
      </c>
      <c r="C160" s="2976">
        <v>0.13</v>
      </c>
      <c r="D160" s="2976">
        <v>0.13</v>
      </c>
      <c r="E160" s="2976">
        <v>0.124</v>
      </c>
      <c r="F160" s="2976">
        <v>0.126</v>
      </c>
      <c r="G160" s="2977">
        <v>0.13</v>
      </c>
    </row>
    <row r="161" spans="1:7">
      <c r="A161" s="2986" t="s">
        <v>29</v>
      </c>
      <c r="B161" s="2975" t="s">
        <v>2991</v>
      </c>
      <c r="C161" s="2976">
        <v>0.13</v>
      </c>
      <c r="D161" s="2976">
        <v>0.13</v>
      </c>
      <c r="E161" s="2976">
        <v>0.124</v>
      </c>
      <c r="F161" s="2976">
        <v>0.127</v>
      </c>
      <c r="G161" s="2977">
        <v>0.13</v>
      </c>
    </row>
    <row r="162" spans="1:7">
      <c r="A162" s="2986" t="s">
        <v>29</v>
      </c>
      <c r="B162" s="2975" t="s">
        <v>2996</v>
      </c>
      <c r="C162" s="2976">
        <v>0.1</v>
      </c>
      <c r="D162" s="2976">
        <v>0.1</v>
      </c>
      <c r="E162" s="2976">
        <v>0.1</v>
      </c>
      <c r="F162" s="2976">
        <v>0.121</v>
      </c>
      <c r="G162" s="2977">
        <v>0.105</v>
      </c>
    </row>
    <row r="163" spans="1:7">
      <c r="A163" s="2986" t="s">
        <v>29</v>
      </c>
      <c r="B163" s="2975" t="s">
        <v>3001</v>
      </c>
      <c r="C163" s="2976">
        <v>0.1</v>
      </c>
      <c r="D163" s="2976">
        <v>0.1</v>
      </c>
      <c r="E163" s="2976">
        <v>0.1</v>
      </c>
      <c r="F163" s="2976">
        <v>0.1</v>
      </c>
      <c r="G163" s="2977">
        <v>0.1</v>
      </c>
    </row>
    <row r="164" spans="1:7">
      <c r="A164" s="2986" t="s">
        <v>29</v>
      </c>
      <c r="B164" s="2975" t="s">
        <v>3006</v>
      </c>
      <c r="C164" s="2992"/>
      <c r="D164" s="2992"/>
      <c r="E164" s="2992"/>
      <c r="F164" s="2976">
        <v>0.1</v>
      </c>
      <c r="G164" s="2988"/>
    </row>
    <row r="165" spans="1:7">
      <c r="A165" s="2986" t="s">
        <v>29</v>
      </c>
      <c r="B165" s="2975" t="s">
        <v>3177</v>
      </c>
      <c r="C165" s="2976">
        <v>0.126</v>
      </c>
      <c r="D165" s="2976">
        <v>0.126</v>
      </c>
      <c r="E165" s="2976">
        <v>0.11899999999999999</v>
      </c>
      <c r="F165" s="2976">
        <v>0.13</v>
      </c>
      <c r="G165" s="2977">
        <v>0.128</v>
      </c>
    </row>
    <row r="166" spans="1:7">
      <c r="A166" s="2986" t="s">
        <v>29</v>
      </c>
      <c r="B166" s="2975" t="s">
        <v>3016</v>
      </c>
      <c r="C166" s="2976">
        <v>0.129</v>
      </c>
      <c r="D166" s="2976">
        <v>0.129</v>
      </c>
      <c r="E166" s="2976">
        <v>0.123</v>
      </c>
      <c r="F166" s="2976">
        <v>0.128</v>
      </c>
      <c r="G166" s="2977">
        <v>0.13</v>
      </c>
    </row>
    <row r="167" spans="1:7">
      <c r="A167" s="2986" t="s">
        <v>29</v>
      </c>
      <c r="B167" s="2975" t="s">
        <v>3020</v>
      </c>
      <c r="C167" s="2976">
        <v>0.125</v>
      </c>
      <c r="D167" s="2976">
        <v>0.125</v>
      </c>
      <c r="E167" s="2976">
        <v>0.11700000000000001</v>
      </c>
      <c r="F167" s="2976">
        <v>0.13</v>
      </c>
      <c r="G167" s="2977">
        <v>0.126</v>
      </c>
    </row>
    <row r="168" spans="1:7">
      <c r="A168" s="2986" t="s">
        <v>29</v>
      </c>
      <c r="B168" s="2975" t="s">
        <v>3025</v>
      </c>
      <c r="C168" s="2976">
        <v>0.128</v>
      </c>
      <c r="D168" s="2976">
        <v>0.128</v>
      </c>
      <c r="E168" s="2976">
        <v>0.123</v>
      </c>
      <c r="F168" s="2987"/>
      <c r="G168" s="2977">
        <v>0.13</v>
      </c>
    </row>
    <row r="169" spans="1:7">
      <c r="A169" s="2986" t="s">
        <v>29</v>
      </c>
      <c r="B169" s="2975" t="s">
        <v>3178</v>
      </c>
      <c r="C169" s="2992"/>
      <c r="D169" s="2992"/>
      <c r="E169" s="2992"/>
      <c r="F169" s="2976">
        <v>0.05</v>
      </c>
      <c r="G169" s="2988"/>
    </row>
    <row r="170" spans="1:7">
      <c r="A170" s="2986" t="s">
        <v>29</v>
      </c>
      <c r="B170" s="2975" t="s">
        <v>3179</v>
      </c>
      <c r="C170" s="2992"/>
      <c r="D170" s="2992"/>
      <c r="E170" s="2992"/>
      <c r="F170" s="2976">
        <v>0.05</v>
      </c>
      <c r="G170" s="2988"/>
    </row>
    <row r="171" spans="1:7">
      <c r="A171" s="2986" t="s">
        <v>29</v>
      </c>
      <c r="B171" s="2975" t="s">
        <v>3180</v>
      </c>
      <c r="C171" s="2992"/>
      <c r="D171" s="2992"/>
      <c r="E171" s="2992"/>
      <c r="F171" s="2976">
        <v>0.05</v>
      </c>
      <c r="G171" s="2993"/>
    </row>
    <row r="172" spans="1:7">
      <c r="A172" s="2986" t="s">
        <v>29</v>
      </c>
      <c r="B172" s="2975" t="s">
        <v>3181</v>
      </c>
      <c r="C172" s="2992"/>
      <c r="D172" s="2992"/>
      <c r="E172" s="2992"/>
      <c r="F172" s="2976">
        <v>0.05</v>
      </c>
      <c r="G172" s="2993"/>
    </row>
    <row r="173" spans="1:7">
      <c r="A173" s="2986" t="s">
        <v>29</v>
      </c>
      <c r="B173" s="2975" t="s">
        <v>3182</v>
      </c>
      <c r="C173" s="2992"/>
      <c r="D173" s="2992"/>
      <c r="E173" s="2992"/>
      <c r="F173" s="2976">
        <v>0.05</v>
      </c>
      <c r="G173" s="2988"/>
    </row>
    <row r="174" spans="1:7">
      <c r="A174" s="2986" t="s">
        <v>29</v>
      </c>
      <c r="B174" s="2975" t="s">
        <v>3183</v>
      </c>
      <c r="C174" s="2992"/>
      <c r="D174" s="2992"/>
      <c r="E174" s="2992"/>
      <c r="F174" s="2976">
        <v>0.05</v>
      </c>
      <c r="G174" s="2988"/>
    </row>
    <row r="175" spans="1:7">
      <c r="A175" s="2986" t="s">
        <v>29</v>
      </c>
      <c r="B175" s="2975" t="s">
        <v>3184</v>
      </c>
      <c r="C175" s="2992"/>
      <c r="D175" s="2992"/>
      <c r="E175" s="2992"/>
      <c r="F175" s="2976">
        <v>0.05</v>
      </c>
      <c r="G175" s="2988"/>
    </row>
    <row r="176" spans="1:7">
      <c r="A176" s="2986" t="s">
        <v>29</v>
      </c>
      <c r="B176" s="2975" t="s">
        <v>3185</v>
      </c>
      <c r="C176" s="2992"/>
      <c r="D176" s="2992"/>
      <c r="E176" s="2992"/>
      <c r="F176" s="2976">
        <v>0.05</v>
      </c>
      <c r="G176" s="2988"/>
    </row>
    <row r="177" spans="1:7">
      <c r="A177" s="2986" t="s">
        <v>29</v>
      </c>
      <c r="B177" s="2975" t="s">
        <v>3186</v>
      </c>
      <c r="C177" s="2987"/>
      <c r="D177" s="2987"/>
      <c r="E177" s="2987"/>
      <c r="F177" s="2976">
        <v>0.05</v>
      </c>
      <c r="G177" s="2993"/>
    </row>
    <row r="178" spans="1:7">
      <c r="A178" s="2986" t="s">
        <v>29</v>
      </c>
      <c r="B178" s="2975" t="s">
        <v>3187</v>
      </c>
      <c r="C178" s="2987"/>
      <c r="D178" s="2987"/>
      <c r="E178" s="2987"/>
      <c r="F178" s="2976">
        <v>0.05</v>
      </c>
      <c r="G178" s="2993"/>
    </row>
    <row r="179" spans="1:7">
      <c r="A179" s="2986" t="s">
        <v>29</v>
      </c>
      <c r="B179" s="2975" t="s">
        <v>3188</v>
      </c>
      <c r="C179" s="2987"/>
      <c r="D179" s="2987"/>
      <c r="E179" s="2987"/>
      <c r="F179" s="2976">
        <v>0.05</v>
      </c>
      <c r="G179" s="2993"/>
    </row>
    <row r="180" spans="1:7">
      <c r="A180" s="2986" t="s">
        <v>29</v>
      </c>
      <c r="B180" s="2975" t="s">
        <v>3189</v>
      </c>
      <c r="C180" s="2987"/>
      <c r="D180" s="2987"/>
      <c r="E180" s="2987"/>
      <c r="F180" s="2976">
        <v>0.05</v>
      </c>
      <c r="G180" s="2993"/>
    </row>
    <row r="181" spans="1:7">
      <c r="A181" s="2986" t="s">
        <v>29</v>
      </c>
      <c r="B181" s="2975" t="s">
        <v>3190</v>
      </c>
      <c r="C181" s="2987"/>
      <c r="D181" s="2987"/>
      <c r="E181" s="2987"/>
      <c r="F181" s="2976">
        <v>0.05</v>
      </c>
      <c r="G181" s="2993"/>
    </row>
    <row r="182" spans="1:7">
      <c r="A182" s="2986" t="s">
        <v>29</v>
      </c>
      <c r="B182" s="2975" t="s">
        <v>3191</v>
      </c>
      <c r="C182" s="2987"/>
      <c r="D182" s="2987"/>
      <c r="E182" s="2987"/>
      <c r="F182" s="2976">
        <v>0.05</v>
      </c>
      <c r="G182" s="2993"/>
    </row>
    <row r="183" spans="1:7">
      <c r="A183" s="2986" t="s">
        <v>29</v>
      </c>
      <c r="B183" s="2975" t="s">
        <v>3192</v>
      </c>
      <c r="C183" s="2987"/>
      <c r="D183" s="2987"/>
      <c r="E183" s="2987"/>
      <c r="F183" s="2976">
        <v>0.05</v>
      </c>
      <c r="G183" s="2993"/>
    </row>
    <row r="184" spans="1:7">
      <c r="A184" s="2986" t="s">
        <v>29</v>
      </c>
      <c r="B184" s="2975" t="s">
        <v>3193</v>
      </c>
      <c r="C184" s="2987"/>
      <c r="D184" s="2987"/>
      <c r="E184" s="2987"/>
      <c r="F184" s="2976">
        <v>0.05</v>
      </c>
      <c r="G184" s="2993"/>
    </row>
    <row r="185" spans="1:7">
      <c r="A185" s="2986" t="s">
        <v>29</v>
      </c>
      <c r="B185" s="2975" t="s">
        <v>3194</v>
      </c>
      <c r="C185" s="2987"/>
      <c r="D185" s="2987"/>
      <c r="E185" s="2987"/>
      <c r="F185" s="2976">
        <v>0.05</v>
      </c>
      <c r="G185" s="2993"/>
    </row>
    <row r="186" spans="1:7">
      <c r="A186" s="2986" t="s">
        <v>29</v>
      </c>
      <c r="B186" s="2975" t="s">
        <v>3195</v>
      </c>
      <c r="C186" s="2987"/>
      <c r="D186" s="2987"/>
      <c r="E186" s="2987"/>
      <c r="F186" s="2976">
        <v>0.05</v>
      </c>
      <c r="G186" s="2993"/>
    </row>
    <row r="187" spans="1:7">
      <c r="A187" s="2986" t="s">
        <v>29</v>
      </c>
      <c r="B187" s="2975" t="s">
        <v>3196</v>
      </c>
      <c r="C187" s="2987"/>
      <c r="D187" s="2987"/>
      <c r="E187" s="2987"/>
      <c r="F187" s="2976">
        <v>0.05</v>
      </c>
      <c r="G187" s="2993"/>
    </row>
    <row r="188" spans="1:7">
      <c r="A188" s="2986" t="s">
        <v>29</v>
      </c>
      <c r="B188" s="2975" t="s">
        <v>3197</v>
      </c>
      <c r="C188" s="2987"/>
      <c r="D188" s="2987"/>
      <c r="E188" s="2987"/>
      <c r="F188" s="2976">
        <v>0.05</v>
      </c>
      <c r="G188" s="2993"/>
    </row>
    <row r="189" spans="1:7" ht="14.25" thickBot="1">
      <c r="A189" s="2989" t="s">
        <v>29</v>
      </c>
      <c r="B189" s="2979" t="s">
        <v>3198</v>
      </c>
      <c r="C189" s="2981"/>
      <c r="D189" s="2981"/>
      <c r="E189" s="2981"/>
      <c r="F189" s="2980">
        <v>0.05</v>
      </c>
      <c r="G189" s="2994"/>
    </row>
    <row r="190" spans="1:7">
      <c r="A190" s="2985" t="s">
        <v>304</v>
      </c>
      <c r="B190" s="2971" t="s">
        <v>2854</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2890</v>
      </c>
      <c r="C199" s="2976">
        <v>0.13</v>
      </c>
      <c r="D199" s="2976">
        <v>0.13</v>
      </c>
      <c r="E199" s="2976">
        <v>0.13</v>
      </c>
      <c r="F199" s="2976">
        <v>0.13</v>
      </c>
      <c r="G199" s="2977">
        <v>0.13</v>
      </c>
    </row>
    <row r="200" spans="1:7">
      <c r="A200" s="2986" t="s">
        <v>304</v>
      </c>
      <c r="B200" s="2975" t="s">
        <v>2893</v>
      </c>
      <c r="C200" s="2992"/>
      <c r="D200" s="2992"/>
      <c r="E200" s="2992"/>
      <c r="F200" s="2976">
        <v>0.13</v>
      </c>
      <c r="G200" s="2988"/>
    </row>
    <row r="201" spans="1:7">
      <c r="A201" s="2986" t="s">
        <v>304</v>
      </c>
      <c r="B201" s="2975" t="s">
        <v>2898</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2901</v>
      </c>
      <c r="C203" s="2976">
        <v>0.129</v>
      </c>
      <c r="D203" s="2976">
        <v>0.129</v>
      </c>
      <c r="E203" s="2976">
        <v>0.13</v>
      </c>
      <c r="F203" s="2976">
        <v>0.13</v>
      </c>
      <c r="G203" s="2977">
        <v>0.13</v>
      </c>
    </row>
    <row r="204" spans="1:7">
      <c r="A204" s="2986" t="s">
        <v>304</v>
      </c>
      <c r="B204" s="2975" t="s">
        <v>2904</v>
      </c>
      <c r="C204" s="2976">
        <v>0.129</v>
      </c>
      <c r="D204" s="2976">
        <v>0.129</v>
      </c>
      <c r="E204" s="2976">
        <v>0.123</v>
      </c>
      <c r="F204" s="2976">
        <v>0.13</v>
      </c>
      <c r="G204" s="2977">
        <v>0.13</v>
      </c>
    </row>
    <row r="205" spans="1:7">
      <c r="A205" s="2986" t="s">
        <v>304</v>
      </c>
      <c r="B205" s="2975" t="s">
        <v>2906</v>
      </c>
      <c r="C205" s="2976">
        <v>0.13</v>
      </c>
      <c r="D205" s="2976">
        <v>0.13</v>
      </c>
      <c r="E205" s="2976">
        <v>0.13</v>
      </c>
      <c r="F205" s="2976">
        <v>0.13</v>
      </c>
      <c r="G205" s="2977">
        <v>0.13</v>
      </c>
    </row>
    <row r="206" spans="1:7">
      <c r="A206" s="2986" t="s">
        <v>304</v>
      </c>
      <c r="B206" s="2975" t="s">
        <v>2909</v>
      </c>
      <c r="C206" s="2976">
        <v>0.13</v>
      </c>
      <c r="D206" s="2976">
        <v>0.13</v>
      </c>
      <c r="E206" s="2976">
        <v>0.13</v>
      </c>
      <c r="F206" s="2976">
        <v>0.128</v>
      </c>
      <c r="G206" s="2977">
        <v>0.13</v>
      </c>
    </row>
    <row r="207" spans="1:7">
      <c r="A207" s="2986" t="s">
        <v>304</v>
      </c>
      <c r="B207" s="2975" t="s">
        <v>2911</v>
      </c>
      <c r="C207" s="2976">
        <v>0.13</v>
      </c>
      <c r="D207" s="2976">
        <v>0.13</v>
      </c>
      <c r="E207" s="2976">
        <v>0.13</v>
      </c>
      <c r="F207" s="2976">
        <v>0.13</v>
      </c>
      <c r="G207" s="2977">
        <v>0.13</v>
      </c>
    </row>
    <row r="208" spans="1:7">
      <c r="A208" s="2986" t="s">
        <v>304</v>
      </c>
      <c r="B208" s="2975" t="s">
        <v>2914</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2921</v>
      </c>
      <c r="C210" s="2976">
        <v>0.121</v>
      </c>
      <c r="D210" s="2976">
        <v>0.121</v>
      </c>
      <c r="E210" s="2976">
        <v>0.125</v>
      </c>
      <c r="F210" s="2976">
        <v>0.13</v>
      </c>
      <c r="G210" s="2977">
        <v>0.123</v>
      </c>
    </row>
    <row r="211" spans="1:7">
      <c r="A211" s="2986" t="s">
        <v>304</v>
      </c>
      <c r="B211" s="2975" t="s">
        <v>2924</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2936</v>
      </c>
      <c r="C214" s="2976">
        <v>0.128</v>
      </c>
      <c r="D214" s="2976">
        <v>0.128</v>
      </c>
      <c r="E214" s="2976">
        <v>0.13</v>
      </c>
      <c r="F214" s="2976">
        <v>0.13</v>
      </c>
      <c r="G214" s="2977">
        <v>0.13</v>
      </c>
    </row>
    <row r="215" spans="1:7">
      <c r="A215" s="2986" t="s">
        <v>304</v>
      </c>
      <c r="B215" s="2975" t="s">
        <v>2940</v>
      </c>
      <c r="C215" s="2976">
        <v>0.13</v>
      </c>
      <c r="D215" s="2976">
        <v>0.13</v>
      </c>
      <c r="E215" s="2976">
        <v>0.13</v>
      </c>
      <c r="F215" s="2976">
        <v>0.129</v>
      </c>
      <c r="G215" s="2977">
        <v>0.13</v>
      </c>
    </row>
    <row r="216" spans="1:7">
      <c r="A216" s="2986" t="s">
        <v>304</v>
      </c>
      <c r="B216" s="2975" t="s">
        <v>2947</v>
      </c>
      <c r="C216" s="2976">
        <v>0.13</v>
      </c>
      <c r="D216" s="2976">
        <v>0.13</v>
      </c>
      <c r="E216" s="2976">
        <v>0.13</v>
      </c>
      <c r="F216" s="2976">
        <v>0.13</v>
      </c>
      <c r="G216" s="2977">
        <v>0.13</v>
      </c>
    </row>
    <row r="217" spans="1:7">
      <c r="A217" s="2986" t="s">
        <v>304</v>
      </c>
      <c r="B217" s="2975" t="s">
        <v>2954</v>
      </c>
      <c r="C217" s="2976">
        <v>0.129</v>
      </c>
      <c r="D217" s="2976">
        <v>0.129</v>
      </c>
      <c r="E217" s="2976">
        <v>0.13</v>
      </c>
      <c r="F217" s="2976">
        <v>0.13</v>
      </c>
      <c r="G217" s="2977">
        <v>0.13</v>
      </c>
    </row>
    <row r="218" spans="1:7">
      <c r="A218" s="2986" t="s">
        <v>304</v>
      </c>
      <c r="B218" s="2975" t="s">
        <v>2960</v>
      </c>
      <c r="C218" s="2987"/>
      <c r="D218" s="2987"/>
      <c r="E218" s="2987"/>
      <c r="F218" s="2976">
        <v>0.05</v>
      </c>
      <c r="G218" s="2993"/>
    </row>
    <row r="219" spans="1:7">
      <c r="A219" s="2986" t="s">
        <v>304</v>
      </c>
      <c r="B219" s="2975" t="s">
        <v>2967</v>
      </c>
      <c r="C219" s="2987"/>
      <c r="D219" s="2987"/>
      <c r="E219" s="2987"/>
      <c r="F219" s="2976">
        <v>0.05</v>
      </c>
      <c r="G219" s="2993"/>
    </row>
    <row r="220" spans="1:7">
      <c r="A220" s="2986" t="s">
        <v>304</v>
      </c>
      <c r="B220" s="2975" t="s">
        <v>2973</v>
      </c>
      <c r="C220" s="2987"/>
      <c r="D220" s="2987"/>
      <c r="E220" s="2987"/>
      <c r="F220" s="2976">
        <v>0.05</v>
      </c>
      <c r="G220" s="2993"/>
    </row>
    <row r="221" spans="1:7">
      <c r="A221" s="2986" t="s">
        <v>304</v>
      </c>
      <c r="B221" s="2975" t="s">
        <v>2978</v>
      </c>
      <c r="C221" s="2987"/>
      <c r="D221" s="2987"/>
      <c r="E221" s="2987"/>
      <c r="F221" s="2976">
        <v>0.05</v>
      </c>
      <c r="G221" s="2993"/>
    </row>
    <row r="222" spans="1:7">
      <c r="A222" s="2986" t="s">
        <v>304</v>
      </c>
      <c r="B222" s="2975" t="s">
        <v>2982</v>
      </c>
      <c r="C222" s="2987"/>
      <c r="D222" s="2987"/>
      <c r="E222" s="2987"/>
      <c r="F222" s="2976">
        <v>0.05</v>
      </c>
      <c r="G222" s="2993"/>
    </row>
    <row r="223" spans="1:7">
      <c r="A223" s="2986" t="s">
        <v>304</v>
      </c>
      <c r="B223" s="2975" t="s">
        <v>2987</v>
      </c>
      <c r="C223" s="2987"/>
      <c r="D223" s="2987"/>
      <c r="E223" s="2987"/>
      <c r="F223" s="2976">
        <v>0.05</v>
      </c>
      <c r="G223" s="2993"/>
    </row>
    <row r="224" spans="1:7">
      <c r="A224" s="2986" t="s">
        <v>304</v>
      </c>
      <c r="B224" s="2975" t="s">
        <v>2992</v>
      </c>
      <c r="C224" s="2987"/>
      <c r="D224" s="2987"/>
      <c r="E224" s="2987"/>
      <c r="F224" s="2976">
        <v>0.05</v>
      </c>
      <c r="G224" s="2993"/>
    </row>
    <row r="225" spans="1:7">
      <c r="A225" s="2986" t="s">
        <v>304</v>
      </c>
      <c r="B225" s="2975" t="s">
        <v>2997</v>
      </c>
      <c r="C225" s="2987"/>
      <c r="D225" s="2987"/>
      <c r="E225" s="2987"/>
      <c r="F225" s="2976">
        <v>0.05</v>
      </c>
      <c r="G225" s="2993"/>
    </row>
    <row r="226" spans="1:7">
      <c r="A226" s="2986" t="s">
        <v>304</v>
      </c>
      <c r="B226" s="2975" t="s">
        <v>3199</v>
      </c>
      <c r="C226" s="2987"/>
      <c r="D226" s="2987"/>
      <c r="E226" s="2987"/>
      <c r="F226" s="2976">
        <v>0.05</v>
      </c>
      <c r="G226" s="2993"/>
    </row>
    <row r="227" spans="1:7">
      <c r="A227" s="2986" t="s">
        <v>304</v>
      </c>
      <c r="B227" s="2975" t="s">
        <v>3200</v>
      </c>
      <c r="C227" s="2987"/>
      <c r="D227" s="2987"/>
      <c r="E227" s="2987"/>
      <c r="F227" s="2976">
        <v>0.05</v>
      </c>
      <c r="G227" s="2993"/>
    </row>
    <row r="228" spans="1:7">
      <c r="A228" s="2986" t="s">
        <v>304</v>
      </c>
      <c r="B228" s="2975" t="s">
        <v>3201</v>
      </c>
      <c r="C228" s="2987"/>
      <c r="D228" s="2987"/>
      <c r="E228" s="2987"/>
      <c r="F228" s="2976">
        <v>0.05</v>
      </c>
      <c r="G228" s="2993"/>
    </row>
    <row r="229" spans="1:7">
      <c r="A229" s="2986" t="s">
        <v>304</v>
      </c>
      <c r="B229" s="2975" t="s">
        <v>3202</v>
      </c>
      <c r="C229" s="2987"/>
      <c r="D229" s="2987"/>
      <c r="E229" s="2987"/>
      <c r="F229" s="2976">
        <v>0.05</v>
      </c>
      <c r="G229" s="2993"/>
    </row>
    <row r="230" spans="1:7">
      <c r="A230" s="2986" t="s">
        <v>304</v>
      </c>
      <c r="B230" s="2975" t="s">
        <v>3203</v>
      </c>
      <c r="C230" s="2987"/>
      <c r="D230" s="2987"/>
      <c r="E230" s="2987"/>
      <c r="F230" s="2976">
        <v>0.05</v>
      </c>
      <c r="G230" s="2993"/>
    </row>
    <row r="231" spans="1:7">
      <c r="A231" s="2986" t="s">
        <v>304</v>
      </c>
      <c r="B231" s="2975" t="s">
        <v>3204</v>
      </c>
      <c r="C231" s="2987"/>
      <c r="D231" s="2987"/>
      <c r="E231" s="2987"/>
      <c r="F231" s="2976">
        <v>0.05</v>
      </c>
      <c r="G231" s="2993"/>
    </row>
    <row r="232" spans="1:7">
      <c r="A232" s="2986" t="s">
        <v>304</v>
      </c>
      <c r="B232" s="2975" t="s">
        <v>3205</v>
      </c>
      <c r="C232" s="2987"/>
      <c r="D232" s="2987"/>
      <c r="E232" s="2987"/>
      <c r="F232" s="2976">
        <v>0.05</v>
      </c>
      <c r="G232" s="2993"/>
    </row>
    <row r="233" spans="1:7" ht="14.25" thickBot="1">
      <c r="A233" s="2989" t="s">
        <v>304</v>
      </c>
      <c r="B233" s="2979" t="s">
        <v>3206</v>
      </c>
      <c r="C233" s="2981"/>
      <c r="D233" s="2981"/>
      <c r="E233" s="2981"/>
      <c r="F233" s="2980">
        <v>0.05</v>
      </c>
      <c r="G233" s="2994"/>
    </row>
    <row r="234" spans="1:7">
      <c r="A234" s="2985" t="s">
        <v>305</v>
      </c>
      <c r="B234" s="2971" t="s">
        <v>2855</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2875</v>
      </c>
      <c r="C238" s="2976">
        <v>0.14899999999999999</v>
      </c>
      <c r="D238" s="2976">
        <v>0.14899999999999999</v>
      </c>
      <c r="E238" s="2976">
        <v>0.15</v>
      </c>
      <c r="F238" s="2976">
        <v>0.15</v>
      </c>
      <c r="G238" s="2977">
        <v>0.15</v>
      </c>
    </row>
    <row r="239" spans="1:7">
      <c r="A239" s="2986" t="s">
        <v>305</v>
      </c>
      <c r="B239" s="2975" t="s">
        <v>2879</v>
      </c>
      <c r="C239" s="2976">
        <v>0.15</v>
      </c>
      <c r="D239" s="2976">
        <v>0.15</v>
      </c>
      <c r="E239" s="2976">
        <v>0.15</v>
      </c>
      <c r="F239" s="2976">
        <v>0.15</v>
      </c>
      <c r="G239" s="2977">
        <v>0.15</v>
      </c>
    </row>
    <row r="240" spans="1:7">
      <c r="A240" s="2986" t="s">
        <v>305</v>
      </c>
      <c r="B240" s="2975" t="s">
        <v>2884</v>
      </c>
      <c r="C240" s="2976">
        <v>0.15</v>
      </c>
      <c r="D240" s="2976">
        <v>0.15</v>
      </c>
      <c r="E240" s="2976">
        <v>0.15</v>
      </c>
      <c r="F240" s="2976">
        <v>0.15</v>
      </c>
      <c r="G240" s="2977">
        <v>0.15</v>
      </c>
    </row>
    <row r="241" spans="1:7">
      <c r="A241" s="2986" t="s">
        <v>305</v>
      </c>
      <c r="B241" s="2975" t="s">
        <v>2888</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2894</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2902</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2907</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2915</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2928</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2937</v>
      </c>
      <c r="C258" s="2976">
        <v>0.14299999999999999</v>
      </c>
      <c r="D258" s="2976">
        <v>0.14299999999999999</v>
      </c>
      <c r="E258" s="2976">
        <v>0.15</v>
      </c>
      <c r="F258" s="2976">
        <v>0.14799999999999999</v>
      </c>
      <c r="G258" s="2977">
        <v>0.14599999999999999</v>
      </c>
    </row>
    <row r="259" spans="1:7">
      <c r="A259" s="2986" t="s">
        <v>305</v>
      </c>
      <c r="B259" s="2975" t="s">
        <v>2941</v>
      </c>
      <c r="C259" s="2976">
        <v>0.14399999999999999</v>
      </c>
      <c r="D259" s="2976">
        <v>0.14399999999999999</v>
      </c>
      <c r="E259" s="2976">
        <v>0.14899999999999999</v>
      </c>
      <c r="F259" s="2976">
        <v>0.14699999999999999</v>
      </c>
      <c r="G259" s="2977">
        <v>0.14599999999999999</v>
      </c>
    </row>
    <row r="260" spans="1:7">
      <c r="A260" s="2986" t="s">
        <v>305</v>
      </c>
      <c r="B260" s="2975" t="s">
        <v>2948</v>
      </c>
      <c r="C260" s="2976">
        <v>0.109</v>
      </c>
      <c r="D260" s="2976">
        <v>0.111</v>
      </c>
      <c r="E260" s="2976">
        <v>0.13100000000000001</v>
      </c>
      <c r="F260" s="2976">
        <v>0.126</v>
      </c>
      <c r="G260" s="2977">
        <v>0.11899999999999999</v>
      </c>
    </row>
    <row r="261" spans="1:7">
      <c r="A261" s="2986" t="s">
        <v>305</v>
      </c>
      <c r="B261" s="2975" t="s">
        <v>2955</v>
      </c>
      <c r="C261" s="2976">
        <v>0.1</v>
      </c>
      <c r="D261" s="2976">
        <v>0.1</v>
      </c>
      <c r="E261" s="2976">
        <v>0.11799999999999999</v>
      </c>
      <c r="F261" s="2976">
        <v>0.108</v>
      </c>
      <c r="G261" s="2977">
        <v>0.107</v>
      </c>
    </row>
    <row r="262" spans="1:7">
      <c r="A262" s="2986" t="s">
        <v>305</v>
      </c>
      <c r="B262" s="2975" t="s">
        <v>2961</v>
      </c>
      <c r="C262" s="2976">
        <v>0.1</v>
      </c>
      <c r="D262" s="2976">
        <v>0.1</v>
      </c>
      <c r="E262" s="2976">
        <v>0.1</v>
      </c>
      <c r="F262" s="2976">
        <v>0.14099999999999999</v>
      </c>
      <c r="G262" s="2977">
        <v>0.1</v>
      </c>
    </row>
    <row r="263" spans="1:7">
      <c r="A263" s="2986" t="s">
        <v>305</v>
      </c>
      <c r="B263" s="2975" t="s">
        <v>2968</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2979</v>
      </c>
      <c r="C265" s="2987"/>
      <c r="D265" s="2987"/>
      <c r="E265" s="2987"/>
      <c r="F265" s="2976">
        <v>0.05</v>
      </c>
      <c r="G265" s="2993"/>
    </row>
    <row r="266" spans="1:7">
      <c r="A266" s="2986" t="s">
        <v>305</v>
      </c>
      <c r="B266" s="2975" t="s">
        <v>2983</v>
      </c>
      <c r="C266" s="2987"/>
      <c r="D266" s="2987"/>
      <c r="E266" s="2987"/>
      <c r="F266" s="2976">
        <v>0.05</v>
      </c>
      <c r="G266" s="2993"/>
    </row>
    <row r="267" spans="1:7">
      <c r="A267" s="2986" t="s">
        <v>305</v>
      </c>
      <c r="B267" s="2975" t="s">
        <v>2988</v>
      </c>
      <c r="C267" s="2987"/>
      <c r="D267" s="2987"/>
      <c r="E267" s="2987"/>
      <c r="F267" s="2976">
        <v>0.05</v>
      </c>
      <c r="G267" s="2993"/>
    </row>
    <row r="268" spans="1:7">
      <c r="A268" s="2986" t="s">
        <v>305</v>
      </c>
      <c r="B268" s="2975" t="s">
        <v>2993</v>
      </c>
      <c r="C268" s="2987"/>
      <c r="D268" s="2987"/>
      <c r="E268" s="2987"/>
      <c r="F268" s="2976">
        <v>0.05</v>
      </c>
      <c r="G268" s="2993"/>
    </row>
    <row r="269" spans="1:7">
      <c r="A269" s="2986" t="s">
        <v>305</v>
      </c>
      <c r="B269" s="2975" t="s">
        <v>2998</v>
      </c>
      <c r="C269" s="2987"/>
      <c r="D269" s="2987"/>
      <c r="E269" s="2987"/>
      <c r="F269" s="2976">
        <v>0.05</v>
      </c>
      <c r="G269" s="2993"/>
    </row>
    <row r="270" spans="1:7">
      <c r="A270" s="2986" t="s">
        <v>305</v>
      </c>
      <c r="B270" s="2975" t="s">
        <v>3003</v>
      </c>
      <c r="C270" s="2987"/>
      <c r="D270" s="2987"/>
      <c r="E270" s="2987"/>
      <c r="F270" s="2976">
        <v>0.05</v>
      </c>
      <c r="G270" s="2993"/>
    </row>
    <row r="271" spans="1:7">
      <c r="A271" s="2986" t="s">
        <v>305</v>
      </c>
      <c r="B271" s="2975" t="s">
        <v>3207</v>
      </c>
      <c r="C271" s="2987"/>
      <c r="D271" s="2987"/>
      <c r="E271" s="2987"/>
      <c r="F271" s="2976">
        <v>0.05</v>
      </c>
      <c r="G271" s="2993"/>
    </row>
    <row r="272" spans="1:7">
      <c r="A272" s="2986" t="s">
        <v>305</v>
      </c>
      <c r="B272" s="2975" t="s">
        <v>3208</v>
      </c>
      <c r="C272" s="2987"/>
      <c r="D272" s="2987"/>
      <c r="E272" s="2987"/>
      <c r="F272" s="2976">
        <v>0.05</v>
      </c>
      <c r="G272" s="2993"/>
    </row>
    <row r="273" spans="1:7">
      <c r="A273" s="2986" t="s">
        <v>305</v>
      </c>
      <c r="B273" s="2975" t="s">
        <v>3209</v>
      </c>
      <c r="C273" s="2987"/>
      <c r="D273" s="2987"/>
      <c r="E273" s="2987"/>
      <c r="F273" s="2976">
        <v>0.05</v>
      </c>
      <c r="G273" s="2993"/>
    </row>
    <row r="274" spans="1:7">
      <c r="A274" s="2986" t="s">
        <v>305</v>
      </c>
      <c r="B274" s="2975" t="s">
        <v>3210</v>
      </c>
      <c r="C274" s="2987"/>
      <c r="D274" s="2987"/>
      <c r="E274" s="2987"/>
      <c r="F274" s="2976">
        <v>0.05</v>
      </c>
      <c r="G274" s="2993"/>
    </row>
    <row r="275" spans="1:7">
      <c r="A275" s="2986" t="s">
        <v>305</v>
      </c>
      <c r="B275" s="2975" t="s">
        <v>3211</v>
      </c>
      <c r="C275" s="2987"/>
      <c r="D275" s="2987"/>
      <c r="E275" s="2987"/>
      <c r="F275" s="2976">
        <v>0.05</v>
      </c>
      <c r="G275" s="2993"/>
    </row>
    <row r="276" spans="1:7" ht="14.25" thickBot="1">
      <c r="A276" s="2989" t="s">
        <v>305</v>
      </c>
      <c r="B276" s="2979" t="s">
        <v>3212</v>
      </c>
      <c r="C276" s="2981"/>
      <c r="D276" s="2981"/>
      <c r="E276" s="2981"/>
      <c r="F276" s="2980">
        <v>0.05</v>
      </c>
      <c r="G276" s="2994"/>
    </row>
    <row r="277" spans="1:7">
      <c r="A277" s="2985" t="s">
        <v>306</v>
      </c>
      <c r="B277" s="2971" t="s">
        <v>2856</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2868</v>
      </c>
      <c r="C279" s="2976">
        <v>0.15</v>
      </c>
      <c r="D279" s="2976">
        <v>0.15</v>
      </c>
      <c r="E279" s="2976">
        <v>0.15</v>
      </c>
      <c r="F279" s="2976">
        <v>0.15</v>
      </c>
      <c r="G279" s="2977">
        <v>0.15</v>
      </c>
    </row>
    <row r="280" spans="1:7">
      <c r="A280" s="2986" t="s">
        <v>306</v>
      </c>
      <c r="B280" s="2975" t="s">
        <v>2872</v>
      </c>
      <c r="C280" s="2976">
        <v>0.15</v>
      </c>
      <c r="D280" s="2976">
        <v>0.15</v>
      </c>
      <c r="E280" s="2976">
        <v>0.15</v>
      </c>
      <c r="F280" s="2976">
        <v>0.15</v>
      </c>
      <c r="G280" s="2977">
        <v>0.15</v>
      </c>
    </row>
    <row r="281" spans="1:7">
      <c r="A281" s="2986" t="s">
        <v>306</v>
      </c>
      <c r="B281" s="2975" t="s">
        <v>2876</v>
      </c>
      <c r="C281" s="2976">
        <v>0.15</v>
      </c>
      <c r="D281" s="2976">
        <v>0.15</v>
      </c>
      <c r="E281" s="2976">
        <v>0.15</v>
      </c>
      <c r="F281" s="2976">
        <v>0.15</v>
      </c>
      <c r="G281" s="2977">
        <v>0.15</v>
      </c>
    </row>
    <row r="282" spans="1:7">
      <c r="A282" s="2986" t="s">
        <v>306</v>
      </c>
      <c r="B282" s="2975" t="s">
        <v>2880</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2895</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2900</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2910</v>
      </c>
      <c r="C293" s="2976">
        <v>0.15</v>
      </c>
      <c r="D293" s="2976">
        <v>0.15</v>
      </c>
      <c r="E293" s="2976">
        <v>0.15</v>
      </c>
      <c r="F293" s="2976">
        <v>0.14499999999999999</v>
      </c>
      <c r="G293" s="2977">
        <v>0.15</v>
      </c>
    </row>
    <row r="294" spans="1:7">
      <c r="A294" s="2986" t="s">
        <v>306</v>
      </c>
      <c r="B294" s="2975" t="s">
        <v>2912</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2929</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2942</v>
      </c>
      <c r="C302" s="2976">
        <v>0.15</v>
      </c>
      <c r="D302" s="2976">
        <v>0.15</v>
      </c>
      <c r="E302" s="2976">
        <v>0.15</v>
      </c>
      <c r="F302" s="2976">
        <v>0.14699999999999999</v>
      </c>
      <c r="G302" s="2977">
        <v>0.15</v>
      </c>
    </row>
    <row r="303" spans="1:7">
      <c r="A303" s="2986" t="s">
        <v>306</v>
      </c>
      <c r="B303" s="2975" t="s">
        <v>2949</v>
      </c>
      <c r="C303" s="2976">
        <v>0.15</v>
      </c>
      <c r="D303" s="2976">
        <v>0.15</v>
      </c>
      <c r="E303" s="2976">
        <v>0.15</v>
      </c>
      <c r="F303" s="2976">
        <v>0.14199999999999999</v>
      </c>
      <c r="G303" s="2977">
        <v>0.15</v>
      </c>
    </row>
    <row r="304" spans="1:7">
      <c r="A304" s="2986" t="s">
        <v>306</v>
      </c>
      <c r="B304" s="2975" t="s">
        <v>2956</v>
      </c>
      <c r="C304" s="2976">
        <v>0.15</v>
      </c>
      <c r="D304" s="2976">
        <v>0.15</v>
      </c>
      <c r="E304" s="2976">
        <v>0.15</v>
      </c>
      <c r="F304" s="2976">
        <v>0.14499999999999999</v>
      </c>
      <c r="G304" s="2977">
        <v>0.15</v>
      </c>
    </row>
    <row r="305" spans="1:7">
      <c r="A305" s="2986" t="s">
        <v>306</v>
      </c>
      <c r="B305" s="2975" t="s">
        <v>2962</v>
      </c>
      <c r="C305" s="2976">
        <v>0.15</v>
      </c>
      <c r="D305" s="2976">
        <v>0.15</v>
      </c>
      <c r="E305" s="2976">
        <v>0.15</v>
      </c>
      <c r="F305" s="2976">
        <v>0.111</v>
      </c>
      <c r="G305" s="2977">
        <v>0.15</v>
      </c>
    </row>
    <row r="306" spans="1:7">
      <c r="A306" s="2986" t="s">
        <v>306</v>
      </c>
      <c r="B306" s="2975" t="s">
        <v>2969</v>
      </c>
      <c r="C306" s="2976">
        <v>0.15</v>
      </c>
      <c r="D306" s="2976">
        <v>0.15</v>
      </c>
      <c r="E306" s="2976">
        <v>0.15</v>
      </c>
      <c r="F306" s="2976">
        <v>0.126</v>
      </c>
      <c r="G306" s="2977">
        <v>0.15</v>
      </c>
    </row>
    <row r="307" spans="1:7">
      <c r="A307" s="2986" t="s">
        <v>306</v>
      </c>
      <c r="B307" s="2975" t="s">
        <v>2974</v>
      </c>
      <c r="C307" s="2976">
        <v>0.15</v>
      </c>
      <c r="D307" s="2976">
        <v>0.15</v>
      </c>
      <c r="E307" s="2976">
        <v>0.15</v>
      </c>
      <c r="F307" s="2976">
        <v>0.12</v>
      </c>
      <c r="G307" s="2977">
        <v>0.15</v>
      </c>
    </row>
    <row r="308" spans="1:7">
      <c r="A308" s="2986" t="s">
        <v>306</v>
      </c>
      <c r="B308" s="2975" t="s">
        <v>2980</v>
      </c>
      <c r="C308" s="2976">
        <v>0.15</v>
      </c>
      <c r="D308" s="2976">
        <v>0.15</v>
      </c>
      <c r="E308" s="2976">
        <v>0.15</v>
      </c>
      <c r="F308" s="2976">
        <v>0.13</v>
      </c>
      <c r="G308" s="2977">
        <v>0.15</v>
      </c>
    </row>
    <row r="309" spans="1:7">
      <c r="A309" s="2986" t="s">
        <v>306</v>
      </c>
      <c r="B309" s="2975" t="s">
        <v>2984</v>
      </c>
      <c r="C309" s="2976">
        <v>0.15</v>
      </c>
      <c r="D309" s="2976">
        <v>0.15</v>
      </c>
      <c r="E309" s="2976">
        <v>0.15</v>
      </c>
      <c r="F309" s="2976">
        <v>0.14099999999999999</v>
      </c>
      <c r="G309" s="2977">
        <v>0.15</v>
      </c>
    </row>
    <row r="310" spans="1:7">
      <c r="A310" s="2986" t="s">
        <v>306</v>
      </c>
      <c r="B310" s="2975" t="s">
        <v>2989</v>
      </c>
      <c r="C310" s="2976">
        <v>0.15</v>
      </c>
      <c r="D310" s="2976">
        <v>0.15</v>
      </c>
      <c r="E310" s="2976">
        <v>0.15</v>
      </c>
      <c r="F310" s="2976">
        <v>0.15</v>
      </c>
      <c r="G310" s="2977">
        <v>0.15</v>
      </c>
    </row>
    <row r="311" spans="1:7">
      <c r="A311" s="2986" t="s">
        <v>306</v>
      </c>
      <c r="B311" s="2975" t="s">
        <v>2994</v>
      </c>
      <c r="C311" s="2976">
        <v>0.13200000000000001</v>
      </c>
      <c r="D311" s="2976">
        <v>0.13300000000000001</v>
      </c>
      <c r="E311" s="2976">
        <v>0.14499999999999999</v>
      </c>
      <c r="F311" s="2976">
        <v>0.14199999999999999</v>
      </c>
      <c r="G311" s="2977">
        <v>0.14000000000000001</v>
      </c>
    </row>
    <row r="312" spans="1:7">
      <c r="A312" s="2986" t="s">
        <v>306</v>
      </c>
      <c r="B312" s="2975" t="s">
        <v>2999</v>
      </c>
      <c r="C312" s="2976">
        <v>0.13800000000000001</v>
      </c>
      <c r="D312" s="2976">
        <v>0.14000000000000001</v>
      </c>
      <c r="E312" s="2976">
        <v>0.14599999999999999</v>
      </c>
      <c r="F312" s="2976">
        <v>0.14899999999999999</v>
      </c>
      <c r="G312" s="2977">
        <v>0.14199999999999999</v>
      </c>
    </row>
    <row r="313" spans="1:7">
      <c r="A313" s="2986" t="s">
        <v>306</v>
      </c>
      <c r="B313" s="2975" t="s">
        <v>3004</v>
      </c>
      <c r="C313" s="2976">
        <v>0.125</v>
      </c>
      <c r="D313" s="2976">
        <v>0.127</v>
      </c>
      <c r="E313" s="2976">
        <v>0.14399999999999999</v>
      </c>
      <c r="F313" s="2976">
        <v>0.115</v>
      </c>
      <c r="G313" s="2977">
        <v>0.13600000000000001</v>
      </c>
    </row>
    <row r="314" spans="1:7">
      <c r="A314" s="2986" t="s">
        <v>306</v>
      </c>
      <c r="B314" s="2975" t="s">
        <v>3213</v>
      </c>
      <c r="C314" s="2992"/>
      <c r="D314" s="2992"/>
      <c r="E314" s="2992"/>
      <c r="F314" s="2976">
        <v>0.05</v>
      </c>
      <c r="G314" s="2993"/>
    </row>
    <row r="315" spans="1:7">
      <c r="A315" s="2986" t="s">
        <v>306</v>
      </c>
      <c r="B315" s="2975" t="s">
        <v>3214</v>
      </c>
      <c r="C315" s="2992"/>
      <c r="D315" s="2992"/>
      <c r="E315" s="2992"/>
      <c r="F315" s="2976">
        <v>0.05</v>
      </c>
      <c r="G315" s="2993"/>
    </row>
    <row r="316" spans="1:7">
      <c r="A316" s="2986" t="s">
        <v>306</v>
      </c>
      <c r="B316" s="2975" t="s">
        <v>3215</v>
      </c>
      <c r="C316" s="2987"/>
      <c r="D316" s="2987"/>
      <c r="E316" s="2987"/>
      <c r="F316" s="2976">
        <v>0.05</v>
      </c>
      <c r="G316" s="2993"/>
    </row>
    <row r="317" spans="1:7">
      <c r="A317" s="2986" t="s">
        <v>306</v>
      </c>
      <c r="B317" s="2975" t="s">
        <v>3216</v>
      </c>
      <c r="C317" s="2987"/>
      <c r="D317" s="2987"/>
      <c r="E317" s="2987"/>
      <c r="F317" s="2976">
        <v>0.05</v>
      </c>
      <c r="G317" s="2993"/>
    </row>
    <row r="318" spans="1:7">
      <c r="A318" s="2986" t="s">
        <v>306</v>
      </c>
      <c r="B318" s="2975" t="s">
        <v>3217</v>
      </c>
      <c r="C318" s="2987"/>
      <c r="D318" s="2987"/>
      <c r="E318" s="2987"/>
      <c r="F318" s="2976">
        <v>0.05</v>
      </c>
      <c r="G318" s="2993"/>
    </row>
    <row r="319" spans="1:7">
      <c r="A319" s="2986" t="s">
        <v>306</v>
      </c>
      <c r="B319" s="2975" t="s">
        <v>3218</v>
      </c>
      <c r="C319" s="2987"/>
      <c r="D319" s="2987"/>
      <c r="E319" s="2987"/>
      <c r="F319" s="2976">
        <v>0.05</v>
      </c>
      <c r="G319" s="2993"/>
    </row>
    <row r="320" spans="1:7">
      <c r="A320" s="2986" t="s">
        <v>306</v>
      </c>
      <c r="B320" s="2975" t="s">
        <v>3219</v>
      </c>
      <c r="C320" s="2987"/>
      <c r="D320" s="2987"/>
      <c r="E320" s="2987"/>
      <c r="F320" s="2976">
        <v>0.05</v>
      </c>
      <c r="G320" s="2993"/>
    </row>
    <row r="321" spans="1:7">
      <c r="A321" s="2986" t="s">
        <v>306</v>
      </c>
      <c r="B321" s="2975" t="s">
        <v>3220</v>
      </c>
      <c r="C321" s="2987"/>
      <c r="D321" s="2987"/>
      <c r="E321" s="2987"/>
      <c r="F321" s="2976">
        <v>0.05</v>
      </c>
      <c r="G321" s="2993"/>
    </row>
    <row r="322" spans="1:7">
      <c r="A322" s="2986" t="s">
        <v>306</v>
      </c>
      <c r="B322" s="2975" t="s">
        <v>3221</v>
      </c>
      <c r="C322" s="2987"/>
      <c r="D322" s="2987"/>
      <c r="E322" s="2987"/>
      <c r="F322" s="2976">
        <v>0.05</v>
      </c>
      <c r="G322" s="2993"/>
    </row>
    <row r="323" spans="1:7">
      <c r="A323" s="2986" t="s">
        <v>306</v>
      </c>
      <c r="B323" s="2975" t="s">
        <v>3222</v>
      </c>
      <c r="C323" s="2987"/>
      <c r="D323" s="2987"/>
      <c r="E323" s="2987"/>
      <c r="F323" s="2976">
        <v>0.05</v>
      </c>
      <c r="G323" s="2993"/>
    </row>
    <row r="324" spans="1:7">
      <c r="A324" s="2986" t="s">
        <v>306</v>
      </c>
      <c r="B324" s="2975" t="s">
        <v>3223</v>
      </c>
      <c r="C324" s="2987"/>
      <c r="D324" s="2987"/>
      <c r="E324" s="2987"/>
      <c r="F324" s="2976">
        <v>0.05</v>
      </c>
      <c r="G324" s="2993"/>
    </row>
    <row r="325" spans="1:7">
      <c r="A325" s="2986" t="s">
        <v>306</v>
      </c>
      <c r="B325" s="2975" t="s">
        <v>3224</v>
      </c>
      <c r="C325" s="2987"/>
      <c r="D325" s="2987"/>
      <c r="E325" s="2987"/>
      <c r="F325" s="2976">
        <v>0.05</v>
      </c>
      <c r="G325" s="2993"/>
    </row>
    <row r="326" spans="1:7" ht="14.25" thickBot="1">
      <c r="A326" s="2989" t="s">
        <v>306</v>
      </c>
      <c r="B326" s="2979" t="s">
        <v>3225</v>
      </c>
      <c r="C326" s="2981"/>
      <c r="D326" s="2981"/>
      <c r="E326" s="2981"/>
      <c r="F326" s="2980">
        <v>0.05</v>
      </c>
      <c r="G326" s="2994"/>
    </row>
    <row r="327" spans="1:7">
      <c r="A327" s="2985" t="s">
        <v>307</v>
      </c>
      <c r="B327" s="2971" t="s">
        <v>2857</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2869</v>
      </c>
      <c r="C329" s="2976">
        <v>0.15</v>
      </c>
      <c r="D329" s="2976">
        <v>0.15</v>
      </c>
      <c r="E329" s="2976">
        <v>0.15</v>
      </c>
      <c r="F329" s="2976">
        <v>0.15</v>
      </c>
      <c r="G329" s="2977">
        <v>0.15</v>
      </c>
    </row>
    <row r="330" spans="1:7">
      <c r="A330" s="2986" t="s">
        <v>307</v>
      </c>
      <c r="B330" s="2975" t="s">
        <v>2873</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2881</v>
      </c>
      <c r="C332" s="2976">
        <v>0.15</v>
      </c>
      <c r="D332" s="2976">
        <v>0.15</v>
      </c>
      <c r="E332" s="2976">
        <v>0.15</v>
      </c>
      <c r="F332" s="2976">
        <v>0.15</v>
      </c>
      <c r="G332" s="2977">
        <v>0.15</v>
      </c>
    </row>
    <row r="333" spans="1:7">
      <c r="A333" s="2986" t="s">
        <v>307</v>
      </c>
      <c r="B333" s="2975" t="s">
        <v>2885</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2891</v>
      </c>
      <c r="C336" s="2976">
        <v>0.15</v>
      </c>
      <c r="D336" s="2976">
        <v>0.15</v>
      </c>
      <c r="E336" s="2976">
        <v>0.15</v>
      </c>
      <c r="F336" s="2976">
        <v>0.14199999999999999</v>
      </c>
      <c r="G336" s="2977">
        <v>0.15</v>
      </c>
    </row>
    <row r="337" spans="1:7">
      <c r="A337" s="2986" t="s">
        <v>307</v>
      </c>
      <c r="B337" s="2975" t="s">
        <v>2896</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2903</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2908</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2916</v>
      </c>
      <c r="C345" s="2976">
        <v>0.15</v>
      </c>
      <c r="D345" s="2976">
        <v>0.15</v>
      </c>
      <c r="E345" s="2976">
        <v>0.15</v>
      </c>
      <c r="F345" s="2976">
        <v>0.13800000000000001</v>
      </c>
      <c r="G345" s="2977">
        <v>0.15</v>
      </c>
    </row>
    <row r="346" spans="1:7">
      <c r="A346" s="2986" t="s">
        <v>307</v>
      </c>
      <c r="B346" s="2975" t="s">
        <v>2918</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2925</v>
      </c>
      <c r="C348" s="2976">
        <v>0.15</v>
      </c>
      <c r="D348" s="2976">
        <v>0.15</v>
      </c>
      <c r="E348" s="2976">
        <v>0.15</v>
      </c>
      <c r="F348" s="2976">
        <v>0.14399999999999999</v>
      </c>
      <c r="G348" s="2977">
        <v>0.15</v>
      </c>
    </row>
    <row r="349" spans="1:7">
      <c r="A349" s="2986" t="s">
        <v>307</v>
      </c>
      <c r="B349" s="2975" t="s">
        <v>2930</v>
      </c>
      <c r="C349" s="2976">
        <v>0.15</v>
      </c>
      <c r="D349" s="2976">
        <v>0.15</v>
      </c>
      <c r="E349" s="2976">
        <v>0.15</v>
      </c>
      <c r="F349" s="2976">
        <v>0.15</v>
      </c>
      <c r="G349" s="2977">
        <v>0.15</v>
      </c>
    </row>
    <row r="350" spans="1:7">
      <c r="A350" s="2986" t="s">
        <v>307</v>
      </c>
      <c r="B350" s="2975" t="s">
        <v>2933</v>
      </c>
      <c r="C350" s="2976">
        <v>0.15</v>
      </c>
      <c r="D350" s="2976">
        <v>0.15</v>
      </c>
      <c r="E350" s="2976">
        <v>0.15</v>
      </c>
      <c r="F350" s="2976">
        <v>0.14699999999999999</v>
      </c>
      <c r="G350" s="2977">
        <v>0.15</v>
      </c>
    </row>
    <row r="351" spans="1:7">
      <c r="A351" s="2986" t="s">
        <v>307</v>
      </c>
      <c r="B351" s="2975" t="s">
        <v>2938</v>
      </c>
      <c r="C351" s="2976">
        <v>0.15</v>
      </c>
      <c r="D351" s="2976">
        <v>0.15</v>
      </c>
      <c r="E351" s="2976">
        <v>0.15</v>
      </c>
      <c r="F351" s="2976">
        <v>0.13</v>
      </c>
      <c r="G351" s="2977">
        <v>0.15</v>
      </c>
    </row>
    <row r="352" spans="1:7">
      <c r="A352" s="2986" t="s">
        <v>307</v>
      </c>
      <c r="B352" s="2975" t="s">
        <v>2943</v>
      </c>
      <c r="C352" s="2976">
        <v>0.15</v>
      </c>
      <c r="D352" s="2976">
        <v>0.15</v>
      </c>
      <c r="E352" s="2976">
        <v>0.15</v>
      </c>
      <c r="F352" s="2976">
        <v>0.14599999999999999</v>
      </c>
      <c r="G352" s="2977">
        <v>0.15</v>
      </c>
    </row>
    <row r="353" spans="1:7">
      <c r="A353" s="2986" t="s">
        <v>307</v>
      </c>
      <c r="B353" s="2975" t="s">
        <v>2950</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2963</v>
      </c>
      <c r="C355" s="2976">
        <v>0.15</v>
      </c>
      <c r="D355" s="2976">
        <v>0.15</v>
      </c>
      <c r="E355" s="2976">
        <v>0.15</v>
      </c>
      <c r="F355" s="2976">
        <v>0.15</v>
      </c>
      <c r="G355" s="2977">
        <v>0.15</v>
      </c>
    </row>
    <row r="356" spans="1:7">
      <c r="A356" s="2986" t="s">
        <v>307</v>
      </c>
      <c r="B356" s="2975" t="s">
        <v>2970</v>
      </c>
      <c r="C356" s="2976">
        <v>0.15</v>
      </c>
      <c r="D356" s="2976">
        <v>0.15</v>
      </c>
      <c r="E356" s="2976">
        <v>0.15</v>
      </c>
      <c r="F356" s="2976">
        <v>0.15</v>
      </c>
      <c r="G356" s="2977">
        <v>0.15</v>
      </c>
    </row>
    <row r="357" spans="1:7" ht="14.25" thickBot="1">
      <c r="A357" s="2989" t="s">
        <v>307</v>
      </c>
      <c r="B357" s="2979" t="s">
        <v>2975</v>
      </c>
      <c r="C357" s="2980">
        <v>0.126</v>
      </c>
      <c r="D357" s="2980">
        <v>0.127</v>
      </c>
      <c r="E357" s="2980">
        <v>0.14299999999999999</v>
      </c>
      <c r="F357" s="2980">
        <v>0.125</v>
      </c>
      <c r="G357" s="2982">
        <v>0.129</v>
      </c>
    </row>
    <row r="358" spans="1:7">
      <c r="A358" s="2985" t="s">
        <v>2844</v>
      </c>
      <c r="B358" s="2971" t="s">
        <v>2858</v>
      </c>
      <c r="C358" s="2972">
        <v>0.15</v>
      </c>
      <c r="D358" s="2972">
        <v>0.15</v>
      </c>
      <c r="E358" s="2972">
        <v>0.15</v>
      </c>
      <c r="F358" s="2972">
        <v>0.15</v>
      </c>
      <c r="G358" s="2973">
        <v>0.15</v>
      </c>
    </row>
    <row r="359" spans="1:7">
      <c r="A359" s="2986" t="s">
        <v>2844</v>
      </c>
      <c r="B359" s="2975" t="s">
        <v>2864</v>
      </c>
      <c r="C359" s="2976">
        <v>0.1</v>
      </c>
      <c r="D359" s="2976">
        <v>0.1</v>
      </c>
      <c r="E359" s="2976">
        <v>0.1</v>
      </c>
      <c r="F359" s="2976">
        <v>0.1</v>
      </c>
      <c r="G359" s="2977">
        <v>0.1</v>
      </c>
    </row>
    <row r="360" spans="1:7">
      <c r="A360" s="2986" t="s">
        <v>2844</v>
      </c>
      <c r="B360" s="2975" t="s">
        <v>2870</v>
      </c>
      <c r="C360" s="2976">
        <v>0.15</v>
      </c>
      <c r="D360" s="2976">
        <v>0.15</v>
      </c>
      <c r="E360" s="2976">
        <v>0.15</v>
      </c>
      <c r="F360" s="2976">
        <v>0.14899999999999999</v>
      </c>
      <c r="G360" s="2977">
        <v>0.15</v>
      </c>
    </row>
    <row r="361" spans="1:7">
      <c r="A361" s="2986" t="s">
        <v>2844</v>
      </c>
      <c r="B361" s="2975" t="s">
        <v>153</v>
      </c>
      <c r="C361" s="2976">
        <v>0.15</v>
      </c>
      <c r="D361" s="2976">
        <v>0.15</v>
      </c>
      <c r="E361" s="2976">
        <v>0.15</v>
      </c>
      <c r="F361" s="2976">
        <v>0.115</v>
      </c>
      <c r="G361" s="2977">
        <v>0.15</v>
      </c>
    </row>
    <row r="362" spans="1:7">
      <c r="A362" s="2986" t="s">
        <v>2844</v>
      </c>
      <c r="B362" s="2975" t="s">
        <v>2877</v>
      </c>
      <c r="C362" s="2976">
        <v>0.15</v>
      </c>
      <c r="D362" s="2976">
        <v>0.15</v>
      </c>
      <c r="E362" s="2976">
        <v>0.15</v>
      </c>
      <c r="F362" s="2976">
        <v>0.106</v>
      </c>
      <c r="G362" s="2977">
        <v>0.15</v>
      </c>
    </row>
    <row r="363" spans="1:7">
      <c r="A363" s="2986" t="s">
        <v>2844</v>
      </c>
      <c r="B363" s="2975" t="s">
        <v>2882</v>
      </c>
      <c r="C363" s="2976">
        <v>0.15</v>
      </c>
      <c r="D363" s="2976">
        <v>0.15</v>
      </c>
      <c r="E363" s="2976">
        <v>0.15</v>
      </c>
      <c r="F363" s="2976">
        <v>0.14699999999999999</v>
      </c>
      <c r="G363" s="2977">
        <v>0.15</v>
      </c>
    </row>
    <row r="364" spans="1:7">
      <c r="A364" s="2986" t="s">
        <v>2844</v>
      </c>
      <c r="B364" s="2975" t="s">
        <v>2886</v>
      </c>
      <c r="C364" s="2976">
        <v>0.15</v>
      </c>
      <c r="D364" s="2976">
        <v>0.15</v>
      </c>
      <c r="E364" s="2976">
        <v>0.15</v>
      </c>
      <c r="F364" s="2976">
        <v>0.14799999999999999</v>
      </c>
      <c r="G364" s="2977">
        <v>0.15</v>
      </c>
    </row>
    <row r="365" spans="1:7">
      <c r="A365" s="2986" t="s">
        <v>2844</v>
      </c>
      <c r="B365" s="2975" t="s">
        <v>200</v>
      </c>
      <c r="C365" s="2976">
        <v>0.15</v>
      </c>
      <c r="D365" s="2976">
        <v>0.15</v>
      </c>
      <c r="E365" s="2976">
        <v>0.15</v>
      </c>
      <c r="F365" s="2976">
        <v>0.15</v>
      </c>
      <c r="G365" s="2977">
        <v>0.15</v>
      </c>
    </row>
    <row r="366" spans="1:7">
      <c r="A366" s="2986" t="s">
        <v>2844</v>
      </c>
      <c r="B366" s="2975" t="s">
        <v>2889</v>
      </c>
      <c r="C366" s="2976">
        <v>0.15</v>
      </c>
      <c r="D366" s="2976">
        <v>0.15</v>
      </c>
      <c r="E366" s="2976">
        <v>0.15</v>
      </c>
      <c r="F366" s="2976">
        <v>0.15</v>
      </c>
      <c r="G366" s="2977">
        <v>0.15</v>
      </c>
    </row>
    <row r="367" spans="1:7">
      <c r="A367" s="2986" t="s">
        <v>2844</v>
      </c>
      <c r="B367" s="2975" t="s">
        <v>2892</v>
      </c>
      <c r="C367" s="2976">
        <v>0.15</v>
      </c>
      <c r="D367" s="2976">
        <v>0.15</v>
      </c>
      <c r="E367" s="2976">
        <v>0.15</v>
      </c>
      <c r="F367" s="2976">
        <v>0.14699999999999999</v>
      </c>
      <c r="G367" s="2977">
        <v>0.15</v>
      </c>
    </row>
    <row r="368" spans="1:7">
      <c r="A368" s="2986" t="s">
        <v>2844</v>
      </c>
      <c r="B368" s="2975" t="s">
        <v>2897</v>
      </c>
      <c r="C368" s="2976">
        <v>0.15</v>
      </c>
      <c r="D368" s="2976">
        <v>0.15</v>
      </c>
      <c r="E368" s="2976">
        <v>0.15</v>
      </c>
      <c r="F368" s="2976">
        <v>0.13600000000000001</v>
      </c>
      <c r="G368" s="2977">
        <v>0.15</v>
      </c>
    </row>
    <row r="369" spans="1:7">
      <c r="A369" s="2986" t="s">
        <v>2844</v>
      </c>
      <c r="B369" s="2975" t="s">
        <v>214</v>
      </c>
      <c r="C369" s="2976">
        <v>0.15</v>
      </c>
      <c r="D369" s="2976">
        <v>0.15</v>
      </c>
      <c r="E369" s="2976">
        <v>0.15</v>
      </c>
      <c r="F369" s="2976">
        <v>0.14399999999999999</v>
      </c>
      <c r="G369" s="2977">
        <v>0.15</v>
      </c>
    </row>
    <row r="370" spans="1:7">
      <c r="A370" s="2986" t="s">
        <v>2844</v>
      </c>
      <c r="B370" s="2975" t="s">
        <v>221</v>
      </c>
      <c r="C370" s="2976">
        <v>0.15</v>
      </c>
      <c r="D370" s="2976">
        <v>0.15</v>
      </c>
      <c r="E370" s="2976">
        <v>0.15</v>
      </c>
      <c r="F370" s="2976">
        <v>0.14599999999999999</v>
      </c>
      <c r="G370" s="2977">
        <v>0.15</v>
      </c>
    </row>
    <row r="371" spans="1:7">
      <c r="A371" s="2986" t="s">
        <v>2844</v>
      </c>
      <c r="B371" s="2975" t="s">
        <v>229</v>
      </c>
      <c r="C371" s="2976">
        <v>0.15</v>
      </c>
      <c r="D371" s="2976">
        <v>0.15</v>
      </c>
      <c r="E371" s="2976">
        <v>0.15</v>
      </c>
      <c r="F371" s="2976">
        <v>0.12</v>
      </c>
      <c r="G371" s="2977">
        <v>0.15</v>
      </c>
    </row>
    <row r="372" spans="1:7">
      <c r="A372" s="2986" t="s">
        <v>2844</v>
      </c>
      <c r="B372" s="2975" t="s">
        <v>2905</v>
      </c>
      <c r="C372" s="2976">
        <v>0.15</v>
      </c>
      <c r="D372" s="2976">
        <v>0.15</v>
      </c>
      <c r="E372" s="2976">
        <v>0.15</v>
      </c>
      <c r="F372" s="2976">
        <v>0.14299999999999999</v>
      </c>
      <c r="G372" s="2977">
        <v>0.15</v>
      </c>
    </row>
    <row r="373" spans="1:7">
      <c r="A373" s="2986" t="s">
        <v>2844</v>
      </c>
      <c r="B373" s="2975" t="s">
        <v>258</v>
      </c>
      <c r="C373" s="2976">
        <v>0.15</v>
      </c>
      <c r="D373" s="2976">
        <v>0.15</v>
      </c>
      <c r="E373" s="2976">
        <v>0.15</v>
      </c>
      <c r="F373" s="2976">
        <v>0.14599999999999999</v>
      </c>
      <c r="G373" s="2977">
        <v>0.15</v>
      </c>
    </row>
    <row r="374" spans="1:7">
      <c r="A374" s="2986" t="s">
        <v>2844</v>
      </c>
      <c r="B374" s="2975" t="s">
        <v>266</v>
      </c>
      <c r="C374" s="2976">
        <v>0.15</v>
      </c>
      <c r="D374" s="2976">
        <v>0.15</v>
      </c>
      <c r="E374" s="2976">
        <v>0.15</v>
      </c>
      <c r="F374" s="2976">
        <v>0.14399999999999999</v>
      </c>
      <c r="G374" s="2977">
        <v>0.15</v>
      </c>
    </row>
    <row r="375" spans="1:7">
      <c r="A375" s="2986" t="s">
        <v>2844</v>
      </c>
      <c r="B375" s="2975" t="s">
        <v>2913</v>
      </c>
      <c r="C375" s="2976">
        <v>0.15</v>
      </c>
      <c r="D375" s="2976">
        <v>0.15</v>
      </c>
      <c r="E375" s="2976">
        <v>0.15</v>
      </c>
      <c r="F375" s="2976">
        <v>0.13</v>
      </c>
      <c r="G375" s="2977">
        <v>0.15</v>
      </c>
    </row>
    <row r="376" spans="1:7">
      <c r="A376" s="2986" t="s">
        <v>2844</v>
      </c>
      <c r="B376" s="2975" t="s">
        <v>277</v>
      </c>
      <c r="C376" s="2976">
        <v>0.15</v>
      </c>
      <c r="D376" s="2976">
        <v>0.15</v>
      </c>
      <c r="E376" s="2976">
        <v>0.15</v>
      </c>
      <c r="F376" s="2976">
        <v>0.14199999999999999</v>
      </c>
      <c r="G376" s="2977">
        <v>0.15</v>
      </c>
    </row>
    <row r="377" spans="1:7" ht="14.25" thickBot="1">
      <c r="A377" s="2989" t="s">
        <v>2844</v>
      </c>
      <c r="B377" s="2979" t="s">
        <v>2919</v>
      </c>
      <c r="C377" s="2980">
        <v>0.15</v>
      </c>
      <c r="D377" s="2980">
        <v>0.15</v>
      </c>
      <c r="E377" s="2980">
        <v>0.15</v>
      </c>
      <c r="F377" s="2980">
        <v>0.14000000000000001</v>
      </c>
      <c r="G377" s="2982">
        <v>0.15</v>
      </c>
    </row>
    <row r="378" spans="1:7">
      <c r="A378" s="2985" t="s">
        <v>2845</v>
      </c>
      <c r="B378" s="2971" t="s">
        <v>2859</v>
      </c>
      <c r="C378" s="2972">
        <v>0.15</v>
      </c>
      <c r="D378" s="2972">
        <v>0.15</v>
      </c>
      <c r="E378" s="2972">
        <v>0.15</v>
      </c>
      <c r="F378" s="2972">
        <v>0.107</v>
      </c>
      <c r="G378" s="2973">
        <v>0.15</v>
      </c>
    </row>
    <row r="379" spans="1:7">
      <c r="A379" s="2986" t="s">
        <v>2845</v>
      </c>
      <c r="B379" s="2975" t="s">
        <v>2865</v>
      </c>
      <c r="C379" s="2976">
        <v>0.15</v>
      </c>
      <c r="D379" s="2976">
        <v>0.15</v>
      </c>
      <c r="E379" s="2976">
        <v>0.15</v>
      </c>
      <c r="F379" s="2976">
        <v>0.115</v>
      </c>
      <c r="G379" s="2977">
        <v>0.14899999999999999</v>
      </c>
    </row>
    <row r="380" spans="1:7">
      <c r="A380" s="2986" t="s">
        <v>2845</v>
      </c>
      <c r="B380" s="2975" t="s">
        <v>2871</v>
      </c>
      <c r="C380" s="2976">
        <v>0.15</v>
      </c>
      <c r="D380" s="2976">
        <v>0.15</v>
      </c>
      <c r="E380" s="2976">
        <v>0.15</v>
      </c>
      <c r="F380" s="2976">
        <v>0.1</v>
      </c>
      <c r="G380" s="2977">
        <v>0.14799999999999999</v>
      </c>
    </row>
    <row r="381" spans="1:7">
      <c r="A381" s="2986" t="s">
        <v>2845</v>
      </c>
      <c r="B381" s="2975" t="s">
        <v>2874</v>
      </c>
      <c r="C381" s="2976">
        <v>0.15</v>
      </c>
      <c r="D381" s="2976">
        <v>0.15</v>
      </c>
      <c r="E381" s="2976">
        <v>0.15</v>
      </c>
      <c r="F381" s="2976">
        <v>0.126</v>
      </c>
      <c r="G381" s="2977">
        <v>0.15</v>
      </c>
    </row>
    <row r="382" spans="1:7">
      <c r="A382" s="2986" t="s">
        <v>2845</v>
      </c>
      <c r="B382" s="2975" t="s">
        <v>2878</v>
      </c>
      <c r="C382" s="2976">
        <v>0.15</v>
      </c>
      <c r="D382" s="2976">
        <v>0.15</v>
      </c>
      <c r="E382" s="2976">
        <v>0.15</v>
      </c>
      <c r="F382" s="2976">
        <v>0.15</v>
      </c>
      <c r="G382" s="2977">
        <v>0.15</v>
      </c>
    </row>
    <row r="383" spans="1:7">
      <c r="A383" s="2986" t="s">
        <v>2845</v>
      </c>
      <c r="B383" s="2975" t="s">
        <v>2883</v>
      </c>
      <c r="C383" s="2976">
        <v>0.15</v>
      </c>
      <c r="D383" s="2976">
        <v>0.15</v>
      </c>
      <c r="E383" s="2976">
        <v>0.15</v>
      </c>
      <c r="F383" s="2976">
        <v>0.14699999999999999</v>
      </c>
      <c r="G383" s="2977">
        <v>0.15</v>
      </c>
    </row>
    <row r="384" spans="1:7" ht="14.25" thickBot="1">
      <c r="A384" s="2996" t="s">
        <v>2845</v>
      </c>
      <c r="B384" s="2997" t="s">
        <v>2887</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1"/>
  </cols>
  <sheetData>
    <row r="1" spans="1:6">
      <c r="A1" s="3504" t="s">
        <v>3226</v>
      </c>
      <c r="B1" s="3504"/>
      <c r="C1" s="3504"/>
      <c r="D1" s="3504"/>
      <c r="E1" s="3504"/>
      <c r="F1" s="3505"/>
    </row>
    <row r="2" spans="1:6">
      <c r="A2" s="3000" t="s">
        <v>3227</v>
      </c>
    </row>
    <row r="3" spans="1:6">
      <c r="A3" s="3000" t="s">
        <v>3228</v>
      </c>
      <c r="F3" s="3001" t="s">
        <v>3229</v>
      </c>
    </row>
    <row r="4" spans="1:6">
      <c r="A4" s="3002" t="s">
        <v>672</v>
      </c>
      <c r="B4" s="3002" t="s">
        <v>673</v>
      </c>
      <c r="C4" s="3002" t="s">
        <v>21</v>
      </c>
      <c r="D4" s="3002" t="s">
        <v>674</v>
      </c>
      <c r="E4" s="3002" t="s">
        <v>3</v>
      </c>
      <c r="F4" s="3002" t="s">
        <v>3230</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20" sqref="G20"/>
    </sheetView>
  </sheetViews>
  <sheetFormatPr defaultRowHeight="13.5"/>
  <cols>
    <col min="1" max="1" width="13.875" customWidth="1"/>
    <col min="11" max="17" width="0" hidden="1" customWidth="1"/>
    <col min="25" max="30" width="0" hidden="1" customWidth="1"/>
  </cols>
  <sheetData>
    <row r="1" spans="1:30">
      <c r="A1" s="2935">
        <f>基准地价修正!G23</f>
        <v>45596</v>
      </c>
      <c r="B1" s="2927" t="s">
        <v>3376</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30" s="2009" customFormat="1" ht="14.25" thickBot="1">
      <c r="B2" s="2879"/>
      <c r="C2" s="2880"/>
      <c r="D2" s="2010" t="s">
        <v>2804</v>
      </c>
      <c r="E2" s="2011" t="s">
        <v>2805</v>
      </c>
      <c r="F2" s="2011" t="s">
        <v>2806</v>
      </c>
      <c r="G2" s="2011" t="s">
        <v>2807</v>
      </c>
      <c r="H2" s="2011" t="s">
        <v>2808</v>
      </c>
      <c r="I2" s="2011" t="s">
        <v>2625</v>
      </c>
      <c r="J2" s="2881"/>
      <c r="K2" s="2010" t="s">
        <v>2804</v>
      </c>
      <c r="L2" s="2011" t="s">
        <v>2805</v>
      </c>
      <c r="M2" s="2011" t="s">
        <v>2806</v>
      </c>
      <c r="N2" s="2011" t="s">
        <v>2807</v>
      </c>
      <c r="O2" s="2011" t="s">
        <v>2809</v>
      </c>
      <c r="P2" s="2011" t="s">
        <v>2625</v>
      </c>
      <c r="Q2" s="2881"/>
      <c r="R2" s="2010" t="s">
        <v>2804</v>
      </c>
      <c r="S2" s="2011" t="s">
        <v>2805</v>
      </c>
      <c r="T2" s="2011" t="s">
        <v>2806</v>
      </c>
      <c r="U2" s="2011" t="s">
        <v>2810</v>
      </c>
      <c r="V2" s="2011" t="s">
        <v>2811</v>
      </c>
      <c r="W2" s="2011" t="s">
        <v>2625</v>
      </c>
      <c r="X2" s="2881"/>
      <c r="Y2" s="2010" t="s">
        <v>2804</v>
      </c>
      <c r="Z2" s="2011" t="s">
        <v>2805</v>
      </c>
      <c r="AA2" s="2011" t="s">
        <v>2806</v>
      </c>
      <c r="AB2" s="2011" t="s">
        <v>2812</v>
      </c>
      <c r="AC2" s="2011" t="s">
        <v>2811</v>
      </c>
      <c r="AD2" s="2011" t="s">
        <v>2625</v>
      </c>
    </row>
    <row r="3" spans="1:30" s="2884" customFormat="1" ht="12.75">
      <c r="A3" s="2882" t="s">
        <v>2813</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3372</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3380</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3373</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3369</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3365</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3364</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3362</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3361</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3360</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3358</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3349</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2814</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2815</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2816</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2817</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2818</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3379</v>
      </c>
    </row>
    <row r="24" spans="1:30">
      <c r="I24" s="1404" t="s">
        <v>2819</v>
      </c>
    </row>
    <row r="26" spans="1:30" s="2008" customFormat="1" ht="12.75">
      <c r="B26" s="2927" t="s">
        <v>3377</v>
      </c>
      <c r="C26" s="2928"/>
      <c r="D26" s="2928"/>
      <c r="E26" s="2928"/>
      <c r="F26" s="2928"/>
      <c r="G26" s="2928"/>
      <c r="H26" s="2928"/>
      <c r="I26" s="2928"/>
      <c r="J26" s="2894"/>
      <c r="K26" s="2928" t="s">
        <v>2820</v>
      </c>
      <c r="L26" s="2928"/>
      <c r="M26" s="2928"/>
      <c r="N26" s="2928"/>
      <c r="O26" s="2928"/>
      <c r="P26" s="2928"/>
      <c r="Q26" s="2894"/>
      <c r="R26" s="3506" t="s">
        <v>2821</v>
      </c>
      <c r="S26" s="3507"/>
      <c r="T26" s="3507"/>
      <c r="U26" s="3507"/>
      <c r="V26" s="3507"/>
      <c r="W26" s="3507"/>
      <c r="X26" s="2894"/>
      <c r="Y26" s="3506" t="s">
        <v>2822</v>
      </c>
      <c r="Z26" s="3507"/>
      <c r="AA26" s="3507"/>
      <c r="AB26" s="3507"/>
      <c r="AC26" s="3507"/>
      <c r="AD26" s="3507"/>
    </row>
    <row r="27" spans="1:30" s="2009" customFormat="1" ht="14.25" thickBot="1">
      <c r="B27" s="2879"/>
      <c r="C27" s="2880"/>
      <c r="D27" s="2010" t="s">
        <v>2823</v>
      </c>
      <c r="E27" s="2011" t="s">
        <v>2824</v>
      </c>
      <c r="F27" s="2011" t="s">
        <v>2825</v>
      </c>
      <c r="G27" s="2011" t="s">
        <v>2826</v>
      </c>
      <c r="H27" s="2011"/>
      <c r="I27" s="2011" t="s">
        <v>2827</v>
      </c>
      <c r="J27" s="2881"/>
      <c r="K27" s="2010" t="s">
        <v>2823</v>
      </c>
      <c r="L27" s="2011" t="s">
        <v>2824</v>
      </c>
      <c r="M27" s="2011" t="s">
        <v>2825</v>
      </c>
      <c r="N27" s="2011" t="s">
        <v>2826</v>
      </c>
      <c r="O27" s="2011"/>
      <c r="P27" s="2011" t="s">
        <v>2827</v>
      </c>
      <c r="Q27" s="2881"/>
      <c r="R27" s="2010" t="s">
        <v>2823</v>
      </c>
      <c r="S27" s="2011" t="s">
        <v>2824</v>
      </c>
      <c r="T27" s="2011" t="s">
        <v>2825</v>
      </c>
      <c r="U27" s="2011" t="s">
        <v>2826</v>
      </c>
      <c r="V27" s="2011"/>
      <c r="W27" s="2011" t="s">
        <v>2827</v>
      </c>
      <c r="X27" s="2881"/>
      <c r="Y27" s="2010" t="s">
        <v>2823</v>
      </c>
      <c r="Z27" s="2011" t="s">
        <v>2824</v>
      </c>
      <c r="AA27" s="2011" t="s">
        <v>2825</v>
      </c>
      <c r="AB27" s="2011" t="s">
        <v>2826</v>
      </c>
      <c r="AC27" s="2011"/>
      <c r="AD27" s="2011" t="s">
        <v>2827</v>
      </c>
    </row>
    <row r="28" spans="1:30" s="2884" customFormat="1" ht="12.75">
      <c r="A28" s="2882" t="s">
        <v>2828</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3372</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3374</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3367</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3375</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3368</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3366</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3364</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3363</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3361</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3360</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3359</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3349</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2829</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2830</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2831</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2832</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2818</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G20" sqref="G2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2303</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估价结果一览表</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房地产市场价值</v>
      </c>
      <c r="I2" s="3192"/>
    </row>
    <row r="3" spans="1:9" ht="15">
      <c r="A3" s="3187"/>
      <c r="B3" s="3187"/>
      <c r="C3" s="3187"/>
      <c r="D3" s="801" t="s">
        <v>925</v>
      </c>
      <c r="E3" s="801" t="s">
        <v>931</v>
      </c>
      <c r="F3" s="801" t="s">
        <v>925</v>
      </c>
      <c r="G3" s="801" t="s">
        <v>926</v>
      </c>
      <c r="H3" s="801" t="s">
        <v>925</v>
      </c>
      <c r="I3" s="801" t="s">
        <v>926</v>
      </c>
    </row>
    <row r="4" spans="1:9" ht="45">
      <c r="A4" s="1402" t="str">
        <f>项目基本情况!S2</f>
        <v>北京市昌平区南金路7号院出让国有建设用地使用权及在建建筑物房地产</v>
      </c>
      <c r="B4" s="801">
        <f>项目基本情况!C17</f>
        <v>139467.97</v>
      </c>
      <c r="C4" s="801">
        <f>项目基本情况!C18</f>
        <v>123131.88</v>
      </c>
      <c r="D4" s="801">
        <f ca="1">结果表!D118</f>
        <v>342130</v>
      </c>
      <c r="E4" s="801">
        <f ca="1">结果表!E118</f>
        <v>24531</v>
      </c>
      <c r="F4" s="801">
        <f ca="1">结果表!F118</f>
        <v>50221</v>
      </c>
      <c r="G4" s="801">
        <f ca="1">结果表!G118</f>
        <v>3601</v>
      </c>
      <c r="H4" s="801">
        <f ca="1">结果表!H118</f>
        <v>392351</v>
      </c>
      <c r="I4" s="801">
        <f ca="1">结果表!I118</f>
        <v>28132</v>
      </c>
    </row>
    <row r="5" spans="1:9" ht="30" customHeight="1">
      <c r="A5" s="3187" t="s">
        <v>927</v>
      </c>
      <c r="B5" s="3187"/>
      <c r="C5" s="3187"/>
      <c r="D5" s="3187" t="str">
        <f ca="1">结果表!D119</f>
        <v>叁拾肆亿贰仟壹佰叁拾万元整</v>
      </c>
      <c r="E5" s="3187"/>
      <c r="F5" s="3187" t="str">
        <f ca="1">结果表!F119</f>
        <v>伍亿零贰佰贰拾壹万元整</v>
      </c>
      <c r="G5" s="3187"/>
      <c r="H5" s="3187" t="str">
        <f ca="1">结果表!H119</f>
        <v>叁拾玖亿贰仟叁佰伍拾壹万元整</v>
      </c>
      <c r="I5" s="3187"/>
    </row>
    <row r="6" spans="1:9" ht="15.75">
      <c r="A6" s="3186" t="str">
        <f>结果表!A120</f>
        <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
      </c>
      <c r="B8" s="3186"/>
      <c r="C8" s="3186"/>
      <c r="D8" s="3186">
        <f ca="1">结果表!D122</f>
        <v>392351</v>
      </c>
      <c r="E8" s="3186"/>
      <c r="F8" s="3186"/>
      <c r="G8" s="3186"/>
      <c r="H8" s="3186"/>
      <c r="I8" s="3186"/>
    </row>
    <row r="9" spans="1:9" ht="15">
      <c r="A9" s="3187" t="s">
        <v>927</v>
      </c>
      <c r="B9" s="3187"/>
      <c r="C9" s="3187"/>
      <c r="D9" s="3187" t="str">
        <f ca="1">结果表!D123</f>
        <v>叁拾玖亿贰仟叁佰伍拾壹万元整</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0" t="s">
        <v>939</v>
      </c>
      <c r="B6" s="3200"/>
      <c r="C6" s="3200"/>
      <c r="D6" s="320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3" t="str">
        <f>IF(项目基本情况!B8="抵押","3.抵押双方在办理抵押登记手续时，应使用本公司出具的正式《房地产评估报告》，特提醒报告使用者注意。","——")</f>
        <v>——</v>
      </c>
      <c r="B13" s="3198"/>
      <c r="C13" s="3198"/>
      <c r="D13" s="3198"/>
    </row>
    <row r="14" spans="1:4" ht="15.75" customHeight="1">
      <c r="A14" s="3193" t="str">
        <f>IF(项目基本情况!B8="抵押","4.本次评估估价师所知悉的法定优先受偿款情况说明如下：","——")</f>
        <v>——</v>
      </c>
      <c r="B14" s="3198"/>
      <c r="C14" s="3198"/>
      <c r="D14" s="3198"/>
    </row>
    <row r="15" spans="1:4" ht="42" customHeight="1">
      <c r="A15" s="3193" t="str">
        <f>IF(项目基本情况!B8="抵押","（1）"&amp;CONCATENATE(项目基本情况!L20,项目基本情况!L21,项目基本情况!L22),"——")</f>
        <v>——</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7" t="s">
        <v>956</v>
      </c>
      <c r="B15" s="3202" t="s">
        <v>109</v>
      </c>
      <c r="C15" s="3203"/>
    </row>
    <row r="16" spans="1:7" ht="13.5">
      <c r="A16" s="3208"/>
      <c r="B16" s="3202" t="s">
        <v>42</v>
      </c>
      <c r="C16" s="3203"/>
    </row>
    <row r="17" spans="1:3" ht="13.5">
      <c r="A17" s="3208"/>
      <c r="B17" s="3205" t="s">
        <v>957</v>
      </c>
      <c r="C17" s="1428" t="s">
        <v>956</v>
      </c>
    </row>
    <row r="18" spans="1:3" ht="13.5">
      <c r="A18" s="3208"/>
      <c r="B18" s="3205"/>
      <c r="C18" s="1428" t="s">
        <v>958</v>
      </c>
    </row>
    <row r="19" spans="1:3" ht="13.5">
      <c r="A19" s="3208"/>
      <c r="B19" s="3205"/>
      <c r="C19" s="1428" t="s">
        <v>959</v>
      </c>
    </row>
    <row r="20" spans="1:3" ht="13.5">
      <c r="A20" s="3209"/>
      <c r="B20" s="3204" t="s">
        <v>960</v>
      </c>
      <c r="C20" s="3203"/>
    </row>
    <row r="21" spans="1:3" ht="13.5">
      <c r="A21" s="1429" t="s">
        <v>961</v>
      </c>
      <c r="B21" s="1430"/>
      <c r="C21" s="1431"/>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8" t="s">
        <v>967</v>
      </c>
    </row>
    <row r="26" spans="1:3" ht="13.5">
      <c r="A26" s="3206"/>
      <c r="B26" s="3205"/>
      <c r="C26" s="1428" t="s">
        <v>968</v>
      </c>
    </row>
    <row r="27" spans="1:3" ht="13.5">
      <c r="A27" s="3206"/>
      <c r="B27" s="3205"/>
      <c r="C27" s="1428" t="s">
        <v>969</v>
      </c>
    </row>
    <row r="28" spans="1:3" ht="13.5">
      <c r="A28" s="3206"/>
      <c r="B28" s="3205"/>
      <c r="C28" s="1428" t="s">
        <v>970</v>
      </c>
    </row>
    <row r="29" spans="1:3" ht="13.5">
      <c r="A29" s="3206"/>
      <c r="B29" s="3205"/>
      <c r="C29" s="1428" t="s">
        <v>971</v>
      </c>
    </row>
    <row r="30" spans="1:3" ht="13.5">
      <c r="A30" s="3206"/>
      <c r="B30" s="3205"/>
      <c r="C30" s="1428" t="s">
        <v>972</v>
      </c>
    </row>
    <row r="31" spans="1:3" ht="13.5">
      <c r="A31" s="3206"/>
      <c r="B31" s="3205"/>
      <c r="C31" s="1428" t="s">
        <v>973</v>
      </c>
    </row>
    <row r="32" spans="1:3" ht="13.5">
      <c r="A32" s="3206"/>
      <c r="B32" s="3205"/>
      <c r="C32" s="1428" t="s">
        <v>974</v>
      </c>
    </row>
    <row r="33" spans="1:3" ht="13.5">
      <c r="A33" s="3206"/>
      <c r="B33" s="320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2135</v>
      </c>
      <c r="B2" s="2156">
        <f ca="1">TODAY()</f>
        <v>45610</v>
      </c>
      <c r="C2" s="2157" t="s">
        <v>2136</v>
      </c>
      <c r="D2" s="2157"/>
      <c r="E2" s="2157"/>
      <c r="F2" s="2153"/>
      <c r="G2" s="2153"/>
      <c r="H2" s="2153"/>
    </row>
    <row r="3" spans="1:8" ht="24" customHeight="1">
      <c r="A3" s="2158" t="s">
        <v>2137</v>
      </c>
      <c r="B3" s="1218" t="s">
        <v>2138</v>
      </c>
      <c r="C3" s="1218" t="s">
        <v>2139</v>
      </c>
      <c r="D3" s="2159" t="s">
        <v>2140</v>
      </c>
      <c r="E3" s="2160" t="s">
        <v>2141</v>
      </c>
      <c r="F3" s="1218" t="s">
        <v>2142</v>
      </c>
      <c r="G3" s="1218" t="s">
        <v>2139</v>
      </c>
      <c r="H3" s="2159" t="s">
        <v>2143</v>
      </c>
    </row>
    <row r="4" spans="1:8" ht="24" customHeight="1">
      <c r="A4" s="1218" t="s">
        <v>2144</v>
      </c>
      <c r="B4" s="1218">
        <f ca="1">IF(C4&lt;B2,"已过期",1119970066)</f>
        <v>1119970066</v>
      </c>
      <c r="C4" s="2161">
        <v>45937</v>
      </c>
      <c r="D4" s="2162" t="str">
        <f ca="1">A4&amp;"（注册号："&amp;B4&amp;"）"</f>
        <v>梁津（注册号：1119970066）</v>
      </c>
      <c r="E4" s="2163" t="s">
        <v>2144</v>
      </c>
      <c r="F4" s="1218">
        <f ca="1">IF(G4&lt;B2,"已过期",96010014)</f>
        <v>96010014</v>
      </c>
      <c r="G4" s="2164">
        <v>47118</v>
      </c>
      <c r="H4" s="2165" t="str">
        <f ca="1">E4&amp;"（注册号："&amp;F4&amp;"）"</f>
        <v>梁津（注册号：96010014）</v>
      </c>
    </row>
    <row r="5" spans="1:8" ht="24" customHeight="1">
      <c r="A5" s="1218" t="s">
        <v>2145</v>
      </c>
      <c r="B5" s="1218">
        <f ca="1">IF(C5&lt;B2,"已过期",1119970111)</f>
        <v>1119970111</v>
      </c>
      <c r="C5" s="2161">
        <v>45937</v>
      </c>
      <c r="D5" s="2162" t="str">
        <f t="shared" ref="D5:D15" ca="1" si="0">A5&amp;"（注册号："&amp;B5&amp;"）"</f>
        <v>叶凌（注册号：1119970111）</v>
      </c>
      <c r="E5" s="2163" t="s">
        <v>2145</v>
      </c>
      <c r="F5" s="1218">
        <f ca="1">IF(G5&lt;B2,"已过期",94010078)</f>
        <v>94010078</v>
      </c>
      <c r="G5" s="2164">
        <v>46387</v>
      </c>
      <c r="H5" s="2165" t="str">
        <f t="shared" ref="H5:H16" ca="1" si="1">E5&amp;"（注册号："&amp;F5&amp;"）"</f>
        <v>叶凌（注册号：94010078）</v>
      </c>
    </row>
    <row r="6" spans="1:8" ht="24" customHeight="1">
      <c r="A6" s="1218" t="s">
        <v>2146</v>
      </c>
      <c r="B6" s="1218" t="str">
        <f ca="1">IF(C6&lt;B2,"已过期",1120050019)</f>
        <v>已过期</v>
      </c>
      <c r="C6" s="2161">
        <v>45410</v>
      </c>
      <c r="D6" s="2162" t="str">
        <f t="shared" ca="1" si="0"/>
        <v>王鹏（注册号：已过期）</v>
      </c>
      <c r="E6" s="2163" t="s">
        <v>2146</v>
      </c>
      <c r="F6" s="1218">
        <f ca="1">IF(G6&lt;B2,"已过期",2002110030)</f>
        <v>2002110030</v>
      </c>
      <c r="G6" s="2164">
        <v>46387</v>
      </c>
      <c r="H6" s="2165" t="str">
        <f t="shared" ca="1" si="1"/>
        <v>王鹏（注册号：2002110030）</v>
      </c>
    </row>
    <row r="7" spans="1:8" ht="24" customHeight="1">
      <c r="A7" s="1218" t="s">
        <v>2147</v>
      </c>
      <c r="B7" s="1218">
        <f ca="1">IF(C7&lt;B2,"已过期",1120000080)</f>
        <v>1120000080</v>
      </c>
      <c r="C7" s="2161">
        <v>45937</v>
      </c>
      <c r="D7" s="2162" t="str">
        <f t="shared" ca="1" si="0"/>
        <v>欧红伟（注册号：1120000080）</v>
      </c>
      <c r="E7" s="2163" t="s">
        <v>2147</v>
      </c>
      <c r="F7" s="1218">
        <f ca="1">IF(G7&lt;B2,"已过期",2000110082)</f>
        <v>2000110082</v>
      </c>
      <c r="G7" s="2164">
        <v>46387</v>
      </c>
      <c r="H7" s="2165" t="str">
        <f t="shared" ca="1" si="1"/>
        <v>欧红伟（注册号：2000110082）</v>
      </c>
    </row>
    <row r="8" spans="1:8" ht="24" customHeight="1">
      <c r="A8" s="1218" t="s">
        <v>2148</v>
      </c>
      <c r="B8" s="1218">
        <f ca="1">IF(C8&lt;B2,"已过期",1419970001)</f>
        <v>1419970001</v>
      </c>
      <c r="C8" s="2161">
        <v>45937</v>
      </c>
      <c r="D8" s="2162" t="str">
        <f t="shared" ca="1" si="0"/>
        <v>吴薇（注册号：1419970001）</v>
      </c>
      <c r="E8" s="2163" t="s">
        <v>2148</v>
      </c>
      <c r="F8" s="1218">
        <f ca="1">IF(G8&lt;B2,"已过期",2002110125)</f>
        <v>2002110125</v>
      </c>
      <c r="G8" s="2164">
        <v>47118</v>
      </c>
      <c r="H8" s="2165" t="str">
        <f t="shared" ca="1" si="1"/>
        <v>吴薇（注册号：2002110125）</v>
      </c>
    </row>
    <row r="9" spans="1:8" ht="24" customHeight="1">
      <c r="A9" s="1218" t="s">
        <v>2149</v>
      </c>
      <c r="B9" s="1218" t="str">
        <f ca="1">IF(C9&lt;B2,"已过期",1120060040)</f>
        <v>已过期</v>
      </c>
      <c r="C9" s="2166">
        <v>45592</v>
      </c>
      <c r="D9" s="2162" t="str">
        <f t="shared" ca="1" si="0"/>
        <v>陈颖（注册号：已过期）</v>
      </c>
      <c r="E9" s="2163" t="s">
        <v>2149</v>
      </c>
      <c r="F9" s="1218">
        <f ca="1">IF(G9&lt;B2,"已过期",2004110096)</f>
        <v>2004110096</v>
      </c>
      <c r="G9" s="2164">
        <v>47118</v>
      </c>
      <c r="H9" s="2165" t="str">
        <f t="shared" ca="1" si="1"/>
        <v>陈颖（注册号：2004110096）</v>
      </c>
    </row>
    <row r="10" spans="1:8" ht="24" customHeight="1">
      <c r="A10" s="1218" t="s">
        <v>2150</v>
      </c>
      <c r="B10" s="1218">
        <f ca="1">IF(C10&lt;B2,"已过期",1120100036)</f>
        <v>1120100036</v>
      </c>
      <c r="C10" s="2166">
        <v>45752</v>
      </c>
      <c r="D10" s="2162" t="str">
        <f t="shared" ca="1" si="0"/>
        <v>崔锴（注册号：1120100036）</v>
      </c>
      <c r="E10" s="2163" t="s">
        <v>2150</v>
      </c>
      <c r="F10" s="1218">
        <f ca="1">IF(G10&lt;B2,"已过期",2010110070)</f>
        <v>2010110070</v>
      </c>
      <c r="G10" s="2164">
        <v>47907</v>
      </c>
      <c r="H10" s="2165" t="str">
        <f t="shared" ca="1" si="1"/>
        <v>崔锴（注册号：2010110070）</v>
      </c>
    </row>
    <row r="11" spans="1:8" ht="24" customHeight="1">
      <c r="A11" s="1218" t="s">
        <v>2151</v>
      </c>
      <c r="B11" s="1218">
        <f ca="1">IF(C11&lt;B2,"已过期",1120070131)</f>
        <v>1120070131</v>
      </c>
      <c r="C11" s="2161">
        <v>45937</v>
      </c>
      <c r="D11" s="2162" t="str">
        <f t="shared" ca="1" si="0"/>
        <v>郑燚（注册号：1120070131）</v>
      </c>
      <c r="E11" s="2163" t="s">
        <v>2151</v>
      </c>
      <c r="F11" s="1218">
        <f ca="1">IF(G11&lt;B2,"已过期",2014110011)</f>
        <v>2014110011</v>
      </c>
      <c r="G11" s="2164">
        <v>49302</v>
      </c>
      <c r="H11" s="2165" t="str">
        <f t="shared" ca="1" si="1"/>
        <v>郑燚（注册号：2014110011）</v>
      </c>
    </row>
    <row r="12" spans="1:8" ht="24" customHeight="1">
      <c r="A12" s="1218" t="s">
        <v>2152</v>
      </c>
      <c r="B12" s="1218">
        <f ca="1">IF(C12&lt;B2,"已过期",1120040230)</f>
        <v>1120040230</v>
      </c>
      <c r="C12" s="2166">
        <v>45937</v>
      </c>
      <c r="D12" s="2162" t="str">
        <f t="shared" ca="1" si="0"/>
        <v>苏海（注册号：1120040230）</v>
      </c>
      <c r="E12" s="2163" t="s">
        <v>2152</v>
      </c>
      <c r="F12" s="1218">
        <f ca="1">IF(G12&lt;B2,"已过期",98030020)</f>
        <v>98030020</v>
      </c>
      <c r="G12" s="2164">
        <v>47118</v>
      </c>
      <c r="H12" s="2165" t="str">
        <f t="shared" ca="1" si="1"/>
        <v>苏海（注册号：98030020）</v>
      </c>
    </row>
    <row r="13" spans="1:8" ht="24" customHeight="1">
      <c r="A13" s="1218" t="s">
        <v>2153</v>
      </c>
      <c r="B13" s="1218" t="str">
        <f ca="1">IF(C13&lt;B2,"已过期",1120020033)</f>
        <v>已过期</v>
      </c>
      <c r="C13" s="2161">
        <v>45375</v>
      </c>
      <c r="D13" s="2162" t="str">
        <f t="shared" ca="1" si="0"/>
        <v>刘敬东（注册号：已过期）</v>
      </c>
      <c r="E13" s="2163" t="s">
        <v>2153</v>
      </c>
      <c r="F13" s="1218">
        <f ca="1">IF(G13&lt;B2,"已过期",2000110137)</f>
        <v>2000110137</v>
      </c>
      <c r="G13" s="2164">
        <v>46387</v>
      </c>
      <c r="H13" s="2165" t="str">
        <f t="shared" ca="1" si="1"/>
        <v>刘敬东（注册号：2000110137）</v>
      </c>
    </row>
    <row r="14" spans="1:8" ht="24" customHeight="1">
      <c r="A14" s="1218" t="s">
        <v>2154</v>
      </c>
      <c r="B14" s="1218" t="str">
        <f ca="1">IF(C14&lt;B2,"已过期",1119980106)</f>
        <v>已过期</v>
      </c>
      <c r="C14" s="2166">
        <v>44969</v>
      </c>
      <c r="D14" s="2162" t="str">
        <f t="shared" ca="1" si="0"/>
        <v>刘俊财（注册号：已过期）</v>
      </c>
      <c r="E14" s="2163" t="s">
        <v>2154</v>
      </c>
      <c r="F14" s="1218">
        <f ca="1">IF(G14&lt;B2,"已过期",96010063)</f>
        <v>96010063</v>
      </c>
      <c r="G14" s="2164">
        <v>47483</v>
      </c>
      <c r="H14" s="2165" t="str">
        <f t="shared" ca="1" si="1"/>
        <v>刘俊财（注册号：96010063）</v>
      </c>
    </row>
    <row r="15" spans="1:8" ht="24" customHeight="1">
      <c r="A15" s="1218" t="s">
        <v>2431</v>
      </c>
      <c r="B15" s="1218">
        <v>1120210056</v>
      </c>
      <c r="C15" s="2166">
        <v>45410</v>
      </c>
      <c r="D15" s="2162" t="str">
        <f t="shared" si="0"/>
        <v>宁小鳗（注册号：1120210056）</v>
      </c>
      <c r="E15" s="2163" t="s">
        <v>2155</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0" t="s">
        <v>2156</v>
      </c>
      <c r="B17" s="3210"/>
      <c r="C17" s="3210"/>
      <c r="D17" s="3210"/>
      <c r="E17" s="3210"/>
      <c r="F17" s="3210"/>
      <c r="G17" s="3210"/>
      <c r="H17" s="3210"/>
    </row>
    <row r="18" spans="1:8" ht="24" customHeight="1">
      <c r="A18" s="3211" t="s">
        <v>2157</v>
      </c>
      <c r="B18" s="3211"/>
      <c r="C18" s="3211"/>
      <c r="D18" s="2159"/>
      <c r="E18" s="3212" t="s">
        <v>2158</v>
      </c>
      <c r="F18" s="3211"/>
      <c r="G18" s="3211"/>
    </row>
    <row r="19" spans="1:8" s="2169" customFormat="1" ht="24" customHeight="1">
      <c r="A19" s="2168" t="s">
        <v>2159</v>
      </c>
      <c r="B19" s="1218" t="s">
        <v>2160</v>
      </c>
      <c r="C19" s="1218" t="s">
        <v>2139</v>
      </c>
      <c r="D19" s="2159"/>
      <c r="E19" s="2163" t="s">
        <v>2159</v>
      </c>
      <c r="F19" s="1218" t="s">
        <v>2160</v>
      </c>
      <c r="G19" s="1218" t="s">
        <v>2139</v>
      </c>
    </row>
    <row r="20" spans="1:8" s="2169" customFormat="1" ht="24" customHeight="1">
      <c r="A20" s="2170" t="s">
        <v>2161</v>
      </c>
      <c r="B20" s="2170" t="s">
        <v>2162</v>
      </c>
      <c r="C20" s="2164">
        <v>45898</v>
      </c>
      <c r="D20" s="2171"/>
      <c r="E20" s="2172" t="s">
        <v>2163</v>
      </c>
      <c r="F20" s="2175" t="s">
        <v>2432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拆分价值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典型户型修正</vt:lpstr>
      <vt:lpstr>收益法</vt:lpstr>
      <vt:lpstr>收益法车</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2024-11-14T05:48:39Z</dcterms:modified>
</cp:coreProperties>
</file>